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8220" activeTab="4"/>
  </bookViews>
  <sheets>
    <sheet name="Cote-sal, angajator vs. PFA" sheetId="1" r:id="rId1"/>
    <sheet name="Comparatie salariati vs. PFA " sheetId="7" r:id="rId2"/>
    <sheet name="PFA" sheetId="11" r:id="rId3"/>
    <sheet name="Ex. presiune fiscala salariat" sheetId="2" r:id="rId4"/>
    <sheet name="Ex. presiune fiscala PFA" sheetId="3" r:id="rId5"/>
    <sheet name="Ex. presiune fiscala agregat" sheetId="10" r:id="rId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5" i="11" l="1"/>
  <c r="X15" i="11"/>
  <c r="AC14" i="11"/>
  <c r="X14" i="11"/>
  <c r="W14" i="11"/>
  <c r="T14" i="11"/>
  <c r="S14" i="11"/>
  <c r="R14" i="11"/>
  <c r="O14" i="11"/>
  <c r="N14" i="11"/>
  <c r="M14" i="11"/>
  <c r="K14" i="11"/>
  <c r="H14" i="11"/>
  <c r="G14" i="11"/>
  <c r="E14" i="11"/>
  <c r="D14" i="11"/>
  <c r="AD11" i="11"/>
  <c r="AC11" i="11"/>
  <c r="L11" i="11"/>
  <c r="G11" i="11"/>
  <c r="AC10" i="11"/>
  <c r="AD9" i="11"/>
  <c r="AC9" i="11"/>
  <c r="AB9" i="11"/>
  <c r="AB7" i="11" s="1"/>
  <c r="AA9" i="11"/>
  <c r="AA7" i="11" s="1"/>
  <c r="J9" i="11"/>
  <c r="AD8" i="11"/>
  <c r="AC8" i="11"/>
  <c r="G8" i="11"/>
  <c r="Z7" i="11"/>
  <c r="X7" i="11"/>
  <c r="L7" i="11"/>
  <c r="I7" i="11"/>
  <c r="E7" i="11"/>
  <c r="D7" i="11"/>
  <c r="AC7" i="11" l="1"/>
  <c r="AD7" i="11"/>
  <c r="DF6" i="10"/>
  <c r="DG9" i="10" s="1"/>
  <c r="DB6" i="10"/>
  <c r="DB7" i="10" s="1"/>
  <c r="DC7" i="10" s="1"/>
  <c r="CX6" i="10"/>
  <c r="CT6" i="10"/>
  <c r="CP6" i="10"/>
  <c r="CP7" i="10" s="1"/>
  <c r="CQ7" i="10" s="1"/>
  <c r="CH6" i="10"/>
  <c r="CH7" i="10" s="1"/>
  <c r="CI7" i="10" s="1"/>
  <c r="BZ6" i="10"/>
  <c r="BZ7" i="10" s="1"/>
  <c r="CA7" i="10" s="1"/>
  <c r="BR6" i="10"/>
  <c r="BR7" i="10" s="1"/>
  <c r="BJ6" i="10"/>
  <c r="BJ7" i="10" s="1"/>
  <c r="BB6" i="10"/>
  <c r="BB7" i="10" s="1"/>
  <c r="BC7" i="10" s="1"/>
  <c r="AT6" i="10"/>
  <c r="AT7" i="10" s="1"/>
  <c r="AU7" i="10" s="1"/>
  <c r="AL6" i="10"/>
  <c r="AL7" i="10" s="1"/>
  <c r="AM7" i="10" s="1"/>
  <c r="AD6" i="10"/>
  <c r="AD7" i="10" s="1"/>
  <c r="AE7" i="10" s="1"/>
  <c r="V6" i="10"/>
  <c r="V7" i="10" s="1"/>
  <c r="W7" i="10" s="1"/>
  <c r="N6" i="10"/>
  <c r="N7" i="10" s="1"/>
  <c r="O7" i="10" s="1"/>
  <c r="F6" i="10"/>
  <c r="F7" i="10" s="1"/>
  <c r="G7" i="10" s="1"/>
  <c r="B6" i="10"/>
  <c r="AU7" i="2"/>
  <c r="AW6" i="2"/>
  <c r="AY6" i="2"/>
  <c r="BA6" i="2"/>
  <c r="AD7" i="2"/>
  <c r="J8" i="2"/>
  <c r="J6" i="2"/>
  <c r="AR6" i="2"/>
  <c r="C5" i="7"/>
  <c r="B8" i="7"/>
  <c r="B5" i="7" s="1"/>
  <c r="B16" i="7"/>
  <c r="CX16" i="7"/>
  <c r="BN16" i="7"/>
  <c r="BJ16" i="7"/>
  <c r="AX16" i="7"/>
  <c r="AT16" i="7"/>
  <c r="AP16" i="7"/>
  <c r="AL16" i="7"/>
  <c r="Z16" i="7"/>
  <c r="R16" i="7"/>
  <c r="N16" i="7"/>
  <c r="F16" i="7"/>
  <c r="DI12" i="7"/>
  <c r="DI8" i="7" s="1"/>
  <c r="DI5" i="7" s="1"/>
  <c r="DH12" i="7"/>
  <c r="CX12" i="7"/>
  <c r="CZ12" i="7" s="1"/>
  <c r="CR12" i="7"/>
  <c r="CJ12" i="7"/>
  <c r="BX12" i="7"/>
  <c r="BT12" i="7"/>
  <c r="BO12" i="7"/>
  <c r="BP12" i="7" s="1"/>
  <c r="BH12" i="7"/>
  <c r="AZ12" i="7"/>
  <c r="AV12" i="7"/>
  <c r="AR12" i="7"/>
  <c r="AO12" i="7"/>
  <c r="AN12" i="7"/>
  <c r="AK12" i="7"/>
  <c r="AJ12" i="7"/>
  <c r="AF12" i="7"/>
  <c r="AC12" i="7"/>
  <c r="AB12" i="7"/>
  <c r="T12" i="7"/>
  <c r="P12" i="7"/>
  <c r="H12" i="7"/>
  <c r="D12" i="7"/>
  <c r="DH11" i="7"/>
  <c r="CR11" i="7"/>
  <c r="CJ11" i="7"/>
  <c r="BX11" i="7"/>
  <c r="BT11" i="7"/>
  <c r="BP11" i="7"/>
  <c r="AZ11" i="7"/>
  <c r="AV11" i="7"/>
  <c r="AR11" i="7"/>
  <c r="AN11" i="7"/>
  <c r="AK11" i="7"/>
  <c r="AJ11" i="7"/>
  <c r="AF11" i="7"/>
  <c r="X11" i="7"/>
  <c r="T11" i="7"/>
  <c r="P11" i="7"/>
  <c r="L11" i="7"/>
  <c r="H11" i="7"/>
  <c r="D11" i="7"/>
  <c r="DH10" i="7"/>
  <c r="CZ10" i="7"/>
  <c r="CK10" i="7"/>
  <c r="CJ10" i="7"/>
  <c r="BX10" i="7"/>
  <c r="BT10" i="7"/>
  <c r="BP10" i="7"/>
  <c r="BM10" i="7"/>
  <c r="AZ10" i="7"/>
  <c r="AV10" i="7"/>
  <c r="AR10" i="7"/>
  <c r="AO10" i="7"/>
  <c r="AN10" i="7"/>
  <c r="AK10" i="7"/>
  <c r="AK8" i="7" s="1"/>
  <c r="AK5" i="7" s="1"/>
  <c r="AJ10" i="7"/>
  <c r="AF10" i="7"/>
  <c r="AB10" i="7"/>
  <c r="X10" i="7"/>
  <c r="T10" i="7"/>
  <c r="Q10" i="7"/>
  <c r="L10" i="7"/>
  <c r="H10" i="7"/>
  <c r="D10" i="7"/>
  <c r="DH9" i="7"/>
  <c r="CZ9" i="7"/>
  <c r="CR9" i="7"/>
  <c r="CN9" i="7"/>
  <c r="CJ9" i="7"/>
  <c r="BX9" i="7"/>
  <c r="BT9" i="7"/>
  <c r="BH9" i="7"/>
  <c r="AZ9" i="7"/>
  <c r="AV9" i="7"/>
  <c r="AR9" i="7"/>
  <c r="AO9" i="7"/>
  <c r="AN9" i="7"/>
  <c r="AK9" i="7"/>
  <c r="AJ9" i="7"/>
  <c r="AF9" i="7"/>
  <c r="AC9" i="7"/>
  <c r="AB9" i="7"/>
  <c r="X9" i="7"/>
  <c r="T9" i="7"/>
  <c r="P9" i="7"/>
  <c r="L9" i="7"/>
  <c r="H9" i="7"/>
  <c r="D9" i="7"/>
  <c r="DF8" i="7"/>
  <c r="DH8" i="7" s="1"/>
  <c r="DH5" i="7" s="1"/>
  <c r="DA8" i="7"/>
  <c r="DA5" i="7" s="1"/>
  <c r="CX8" i="7"/>
  <c r="CZ8" i="7" s="1"/>
  <c r="CZ5" i="7" s="1"/>
  <c r="CP8" i="7"/>
  <c r="CR8" i="7" s="1"/>
  <c r="CR5" i="7" s="1"/>
  <c r="CN8" i="7"/>
  <c r="CK8" i="7"/>
  <c r="CH8" i="7"/>
  <c r="CJ8" i="7" s="1"/>
  <c r="CJ5" i="7" s="1"/>
  <c r="BV8" i="7"/>
  <c r="BX8" i="7" s="1"/>
  <c r="BX5" i="7" s="1"/>
  <c r="BT8" i="7"/>
  <c r="BT5" i="7" s="1"/>
  <c r="BR8" i="7"/>
  <c r="BJ8" i="7"/>
  <c r="BJ5" i="7" s="1"/>
  <c r="BL5" i="7" s="1"/>
  <c r="BD8" i="7"/>
  <c r="BA8" i="7"/>
  <c r="BA5" i="7" s="1"/>
  <c r="AX8" i="7"/>
  <c r="AZ8" i="7" s="1"/>
  <c r="AZ5" i="7" s="1"/>
  <c r="AT8" i="7"/>
  <c r="AV8" i="7" s="1"/>
  <c r="AV5" i="7" s="1"/>
  <c r="AS8" i="7"/>
  <c r="AS5" i="7" s="1"/>
  <c r="AP8" i="7"/>
  <c r="AR8" i="7" s="1"/>
  <c r="AR5" i="7" s="1"/>
  <c r="AO8" i="7"/>
  <c r="AL8" i="7"/>
  <c r="AL5" i="7" s="1"/>
  <c r="AH8" i="7"/>
  <c r="AJ8" i="7" s="1"/>
  <c r="AJ5" i="7" s="1"/>
  <c r="AG8" i="7"/>
  <c r="AD8" i="7"/>
  <c r="AF8" i="7" s="1"/>
  <c r="AF5" i="7" s="1"/>
  <c r="Z8" i="7"/>
  <c r="AB8" i="7" s="1"/>
  <c r="AB5" i="7" s="1"/>
  <c r="X8" i="7"/>
  <c r="U8" i="7"/>
  <c r="U5" i="7" s="1"/>
  <c r="R8" i="7"/>
  <c r="T8" i="7" s="1"/>
  <c r="T5" i="7" s="1"/>
  <c r="Q8" i="7"/>
  <c r="N8" i="7"/>
  <c r="P8" i="7" s="1"/>
  <c r="P5" i="7" s="1"/>
  <c r="J8" i="7"/>
  <c r="L8" i="7" s="1"/>
  <c r="L5" i="7" s="1"/>
  <c r="F8" i="7"/>
  <c r="F5" i="7" s="1"/>
  <c r="D8" i="7"/>
  <c r="D5" i="7" s="1"/>
  <c r="DG5" i="7"/>
  <c r="DB5" i="7"/>
  <c r="DD5" i="7" s="1"/>
  <c r="CY5" i="7"/>
  <c r="CW5" i="7"/>
  <c r="CU5" i="7"/>
  <c r="CV5" i="7" s="1"/>
  <c r="CS5" i="7"/>
  <c r="CQ5" i="7"/>
  <c r="CP5" i="7"/>
  <c r="CO5" i="7"/>
  <c r="CN5" i="7"/>
  <c r="CM5" i="7"/>
  <c r="CL5" i="7"/>
  <c r="CK5" i="7"/>
  <c r="CI5" i="7"/>
  <c r="CH5" i="7"/>
  <c r="CG5" i="7"/>
  <c r="CE5" i="7"/>
  <c r="CD5" i="7"/>
  <c r="CC5" i="7"/>
  <c r="CA5" i="7"/>
  <c r="BZ5" i="7"/>
  <c r="BY5" i="7"/>
  <c r="BW5" i="7"/>
  <c r="BV5" i="7"/>
  <c r="BU5" i="7"/>
  <c r="BS5" i="7"/>
  <c r="BR5" i="7"/>
  <c r="BQ5" i="7"/>
  <c r="BP5" i="7"/>
  <c r="BM5" i="7"/>
  <c r="BG5" i="7"/>
  <c r="BH5" i="7" s="1"/>
  <c r="BE5" i="7"/>
  <c r="BD5" i="7"/>
  <c r="BC5" i="7"/>
  <c r="BB5" i="7"/>
  <c r="AY5" i="7"/>
  <c r="AX5" i="7"/>
  <c r="AW5" i="7"/>
  <c r="AU5" i="7"/>
  <c r="AQ5" i="7"/>
  <c r="AP5" i="7"/>
  <c r="AO5" i="7"/>
  <c r="AM5" i="7"/>
  <c r="AI5" i="7"/>
  <c r="AH5" i="7"/>
  <c r="AG5" i="7"/>
  <c r="AE5" i="7"/>
  <c r="AC5" i="7"/>
  <c r="AA5" i="7"/>
  <c r="Y5" i="7"/>
  <c r="X5" i="7"/>
  <c r="W5" i="7"/>
  <c r="V5" i="7"/>
  <c r="S5" i="7"/>
  <c r="R5" i="7"/>
  <c r="Q5" i="7"/>
  <c r="O5" i="7"/>
  <c r="N5" i="7"/>
  <c r="M5" i="7"/>
  <c r="K5" i="7"/>
  <c r="J5" i="7"/>
  <c r="I5" i="7"/>
  <c r="G5" i="7"/>
  <c r="E5" i="7"/>
  <c r="N8" i="2"/>
  <c r="D8" i="2"/>
  <c r="D7" i="2"/>
  <c r="B6" i="2"/>
  <c r="B5" i="2"/>
  <c r="DF7" i="10" l="1"/>
  <c r="DG7" i="10" s="1"/>
  <c r="BK7" i="10"/>
  <c r="BJ8" i="10"/>
  <c r="BK8" i="10" s="1"/>
  <c r="BZ8" i="10"/>
  <c r="BZ9" i="10" s="1"/>
  <c r="AD8" i="10"/>
  <c r="AE8" i="10" s="1"/>
  <c r="CP8" i="10"/>
  <c r="CP9" i="10" s="1"/>
  <c r="DB8" i="10"/>
  <c r="DB9" i="10" s="1"/>
  <c r="DC9" i="10" s="1"/>
  <c r="N8" i="10"/>
  <c r="O8" i="10" s="1"/>
  <c r="CH8" i="10"/>
  <c r="CH9" i="10" s="1"/>
  <c r="AT8" i="10"/>
  <c r="AU8" i="10" s="1"/>
  <c r="BS7" i="10"/>
  <c r="CA8" i="10"/>
  <c r="DF8" i="10"/>
  <c r="DG8" i="10" s="1"/>
  <c r="CX7" i="10"/>
  <c r="CX8" i="10" s="1"/>
  <c r="CY8" i="10" s="1"/>
  <c r="CT7" i="10"/>
  <c r="CT8" i="10" s="1"/>
  <c r="B7" i="10"/>
  <c r="F8" i="10"/>
  <c r="V8" i="10"/>
  <c r="AL8" i="10"/>
  <c r="BB8" i="10"/>
  <c r="BR8" i="10"/>
  <c r="CF5" i="7"/>
  <c r="Z5" i="7"/>
  <c r="CB5" i="7"/>
  <c r="H8" i="7"/>
  <c r="H5" i="7" s="1"/>
  <c r="AN8" i="7"/>
  <c r="AN5" i="7" s="1"/>
  <c r="CX5" i="7"/>
  <c r="AD5" i="7"/>
  <c r="AT5" i="7"/>
  <c r="DF5" i="7"/>
  <c r="DF10" i="10" l="1"/>
  <c r="AD9" i="10"/>
  <c r="AE9" i="10" s="1"/>
  <c r="CQ8" i="10"/>
  <c r="CA9" i="10"/>
  <c r="BZ10" i="10"/>
  <c r="CA10" i="10" s="1"/>
  <c r="N9" i="10"/>
  <c r="BJ9" i="10"/>
  <c r="CQ9" i="10"/>
  <c r="CP10" i="10"/>
  <c r="CQ10" i="10" s="1"/>
  <c r="CI9" i="10"/>
  <c r="CH10" i="10"/>
  <c r="CI10" i="10" s="1"/>
  <c r="DC8" i="10"/>
  <c r="AT9" i="10"/>
  <c r="AU9" i="10" s="1"/>
  <c r="CI8" i="10"/>
  <c r="DB10" i="10"/>
  <c r="DC10" i="10" s="1"/>
  <c r="BC8" i="10"/>
  <c r="BB9" i="10"/>
  <c r="C7" i="10"/>
  <c r="AM8" i="10"/>
  <c r="AL9" i="10"/>
  <c r="B8" i="10"/>
  <c r="CX9" i="10"/>
  <c r="CY9" i="10" s="1"/>
  <c r="W8" i="10"/>
  <c r="V9" i="10"/>
  <c r="CU7" i="10"/>
  <c r="DG10" i="10"/>
  <c r="DF11" i="10"/>
  <c r="DG11" i="10" s="1"/>
  <c r="CY7" i="10"/>
  <c r="BR9" i="10"/>
  <c r="BS8" i="10"/>
  <c r="G8" i="10"/>
  <c r="F9" i="10"/>
  <c r="CT9" i="10"/>
  <c r="CU9" i="10" s="1"/>
  <c r="CU8" i="10"/>
  <c r="AD10" i="10" l="1"/>
  <c r="AD11" i="10" s="1"/>
  <c r="AE11" i="10" s="1"/>
  <c r="CP11" i="10"/>
  <c r="CQ11" i="10" s="1"/>
  <c r="BZ11" i="10"/>
  <c r="CA11" i="10" s="1"/>
  <c r="BK9" i="10"/>
  <c r="BJ10" i="10"/>
  <c r="DB11" i="10"/>
  <c r="DC11" i="10" s="1"/>
  <c r="O9" i="10"/>
  <c r="N10" i="10"/>
  <c r="CH11" i="10"/>
  <c r="CI11" i="10" s="1"/>
  <c r="AT10" i="10"/>
  <c r="AU10" i="10" s="1"/>
  <c r="G9" i="10"/>
  <c r="F10" i="10"/>
  <c r="AE10" i="10"/>
  <c r="CT10" i="10"/>
  <c r="B9" i="10"/>
  <c r="C8" i="10"/>
  <c r="BS9" i="10"/>
  <c r="BR10" i="10"/>
  <c r="AM9" i="10"/>
  <c r="AL10" i="10"/>
  <c r="W9" i="10"/>
  <c r="V10" i="10"/>
  <c r="BC9" i="10"/>
  <c r="BB10" i="10"/>
  <c r="CX10" i="10"/>
  <c r="CY10" i="10" s="1"/>
  <c r="AT11" i="10" l="1"/>
  <c r="AU11" i="10" s="1"/>
  <c r="BJ11" i="10"/>
  <c r="BK11" i="10" s="1"/>
  <c r="BK10" i="10"/>
  <c r="O10" i="10"/>
  <c r="N11" i="10"/>
  <c r="O11" i="10" s="1"/>
  <c r="AM10" i="10"/>
  <c r="AL11" i="10"/>
  <c r="AM11" i="10" s="1"/>
  <c r="BS10" i="10"/>
  <c r="BR11" i="10"/>
  <c r="BS11" i="10" s="1"/>
  <c r="C9" i="10"/>
  <c r="B10" i="10"/>
  <c r="G10" i="10"/>
  <c r="F11" i="10"/>
  <c r="G11" i="10" s="1"/>
  <c r="CX11" i="10"/>
  <c r="CY11" i="10" s="1"/>
  <c r="BC10" i="10"/>
  <c r="BB11" i="10"/>
  <c r="BC11" i="10" s="1"/>
  <c r="W10" i="10"/>
  <c r="V11" i="10"/>
  <c r="W11" i="10" s="1"/>
  <c r="CU10" i="10"/>
  <c r="CT11" i="10"/>
  <c r="CU11" i="10" s="1"/>
  <c r="C10" i="10" l="1"/>
  <c r="B11" i="10"/>
  <c r="C11" i="10" s="1"/>
  <c r="BC5" i="3" l="1"/>
  <c r="BC6" i="3" s="1"/>
  <c r="BD6" i="3" s="1"/>
  <c r="BB5" i="2"/>
  <c r="AC7" i="2"/>
  <c r="AC8" i="2"/>
  <c r="AC9" i="2"/>
  <c r="AC10" i="2"/>
  <c r="AC6" i="2"/>
  <c r="AB9" i="2"/>
  <c r="AB10" i="2" s="1"/>
  <c r="AB8" i="2"/>
  <c r="AB7" i="2"/>
  <c r="AB6" i="2"/>
  <c r="AC5" i="3"/>
  <c r="AC6" i="3" s="1"/>
  <c r="AD6" i="3" s="1"/>
  <c r="AB5" i="2"/>
  <c r="BB7" i="2" l="1"/>
  <c r="BB6" i="2"/>
  <c r="BC6" i="2" s="1"/>
  <c r="AC7" i="3"/>
  <c r="AD7" i="3" s="1"/>
  <c r="BC7" i="3"/>
  <c r="AU8" i="3"/>
  <c r="AG8" i="3"/>
  <c r="S8" i="3"/>
  <c r="BC7" i="2" l="1"/>
  <c r="BB8" i="2"/>
  <c r="BC8" i="3"/>
  <c r="BD8" i="3" s="1"/>
  <c r="BD7" i="3"/>
  <c r="AC9" i="3"/>
  <c r="AD8" i="3"/>
  <c r="BD5" i="2"/>
  <c r="AZ5" i="2"/>
  <c r="AX5" i="2"/>
  <c r="AV5" i="2"/>
  <c r="AT5" i="2"/>
  <c r="AR5" i="2"/>
  <c r="AP5" i="2"/>
  <c r="AN5" i="2"/>
  <c r="AL5" i="2"/>
  <c r="AJ5" i="2"/>
  <c r="AH5" i="2"/>
  <c r="AF5" i="2"/>
  <c r="AD5" i="2"/>
  <c r="Z5" i="2"/>
  <c r="X5" i="2"/>
  <c r="V5" i="2"/>
  <c r="T5" i="2"/>
  <c r="R5" i="2"/>
  <c r="P5" i="2"/>
  <c r="N5" i="2"/>
  <c r="L5" i="2"/>
  <c r="J5" i="2"/>
  <c r="H5" i="2"/>
  <c r="F5" i="2"/>
  <c r="D5" i="2"/>
  <c r="BB9" i="2" l="1"/>
  <c r="BC8" i="2"/>
  <c r="BC9" i="3"/>
  <c r="AC10" i="3"/>
  <c r="AD10" i="3" s="1"/>
  <c r="AD9" i="3"/>
  <c r="AN6" i="2"/>
  <c r="AH6" i="2"/>
  <c r="AP6" i="2"/>
  <c r="AX7" i="2"/>
  <c r="AX8" i="2" s="1"/>
  <c r="AX6" i="2"/>
  <c r="AF6" i="2"/>
  <c r="AF7" i="2"/>
  <c r="BE8" i="2"/>
  <c r="I5" i="3"/>
  <c r="DG5" i="1"/>
  <c r="DB5" i="1"/>
  <c r="DD5" i="1" s="1"/>
  <c r="CY5" i="1"/>
  <c r="CW5" i="1"/>
  <c r="CV5" i="1"/>
  <c r="CU5" i="1"/>
  <c r="CS5" i="1"/>
  <c r="CQ5" i="1"/>
  <c r="CO5" i="1"/>
  <c r="CM5" i="1"/>
  <c r="CL5" i="1"/>
  <c r="CI5" i="1"/>
  <c r="CG5" i="1"/>
  <c r="CE5" i="1"/>
  <c r="CD5" i="1"/>
  <c r="CC5" i="1"/>
  <c r="CA5" i="1"/>
  <c r="BZ5" i="1"/>
  <c r="BY5" i="1"/>
  <c r="BW5" i="1"/>
  <c r="BU5" i="1"/>
  <c r="BS5" i="1"/>
  <c r="BQ5" i="1"/>
  <c r="BP5" i="1"/>
  <c r="BM5" i="1"/>
  <c r="BG5" i="1"/>
  <c r="BH5" i="1" s="1"/>
  <c r="BE5" i="1"/>
  <c r="BC5" i="1"/>
  <c r="BB5" i="1"/>
  <c r="AY5" i="1"/>
  <c r="AW5" i="1"/>
  <c r="AU5" i="1"/>
  <c r="AQ5" i="1"/>
  <c r="AM5" i="1"/>
  <c r="AI5" i="1"/>
  <c r="AE5" i="1"/>
  <c r="AC5" i="1"/>
  <c r="AA5" i="1"/>
  <c r="Y5" i="1"/>
  <c r="W5" i="1"/>
  <c r="V5" i="1"/>
  <c r="S5" i="1"/>
  <c r="O5" i="1"/>
  <c r="M5" i="1"/>
  <c r="K5" i="1"/>
  <c r="I5" i="1"/>
  <c r="G5" i="1"/>
  <c r="E5" i="1"/>
  <c r="C5" i="1"/>
  <c r="BC9" i="2" l="1"/>
  <c r="BB10" i="2"/>
  <c r="BC10" i="2" s="1"/>
  <c r="I6" i="3"/>
  <c r="BC10" i="3"/>
  <c r="BD10" i="3" s="1"/>
  <c r="BD9" i="3"/>
  <c r="AI6" i="2"/>
  <c r="AG6" i="2"/>
  <c r="AY7" i="2"/>
  <c r="CB5" i="1"/>
  <c r="AE6" i="2"/>
  <c r="AX9" i="2"/>
  <c r="AX10" i="2" s="1"/>
  <c r="AH7" i="2"/>
  <c r="AF8" i="2"/>
  <c r="AG8" i="2" s="1"/>
  <c r="AG7" i="2"/>
  <c r="AO6" i="2"/>
  <c r="CF5" i="1"/>
  <c r="AD8" i="2"/>
  <c r="AE7" i="2"/>
  <c r="AQ6" i="2"/>
  <c r="AP7" i="2"/>
  <c r="AN7" i="2"/>
  <c r="AY8" i="2"/>
  <c r="BE5" i="3"/>
  <c r="BA5" i="3"/>
  <c r="AY5" i="3"/>
  <c r="AY6" i="3" s="1"/>
  <c r="AW5" i="3"/>
  <c r="AU5" i="3"/>
  <c r="AS5" i="3"/>
  <c r="AQ5" i="3"/>
  <c r="AO5" i="3"/>
  <c r="AM5" i="3"/>
  <c r="AK5" i="3"/>
  <c r="AI5" i="3"/>
  <c r="AG5" i="3"/>
  <c r="AE5" i="3"/>
  <c r="AA5" i="3"/>
  <c r="Y5" i="3"/>
  <c r="W5" i="3"/>
  <c r="W6" i="3" s="1"/>
  <c r="U5" i="3"/>
  <c r="U6" i="3" s="1"/>
  <c r="S5" i="3"/>
  <c r="Q5" i="3"/>
  <c r="O5" i="3"/>
  <c r="O6" i="3" s="1"/>
  <c r="K5" i="3"/>
  <c r="K6" i="3" s="1"/>
  <c r="M5" i="3"/>
  <c r="G5" i="3"/>
  <c r="E5" i="3"/>
  <c r="E6" i="3" s="1"/>
  <c r="C5" i="3"/>
  <c r="AS6" i="3" l="1"/>
  <c r="AS7" i="3" s="1"/>
  <c r="C6" i="3"/>
  <c r="C7" i="3" s="1"/>
  <c r="G6" i="3"/>
  <c r="G7" i="3" s="1"/>
  <c r="I7" i="3"/>
  <c r="I8" i="3" s="1"/>
  <c r="I9" i="3" s="1"/>
  <c r="I10" i="3" s="1"/>
  <c r="AE8" i="2"/>
  <c r="AD9" i="2"/>
  <c r="E7" i="3"/>
  <c r="F7" i="3" s="1"/>
  <c r="F5" i="3"/>
  <c r="AH8" i="3"/>
  <c r="AG6" i="3"/>
  <c r="AG7" i="3" s="1"/>
  <c r="AH7" i="3" s="1"/>
  <c r="AJ5" i="3"/>
  <c r="AI6" i="3"/>
  <c r="T8" i="3"/>
  <c r="S6" i="3"/>
  <c r="T6" i="3" s="1"/>
  <c r="AA6" i="3"/>
  <c r="AB6" i="3" s="1"/>
  <c r="AL5" i="3"/>
  <c r="AK6" i="3"/>
  <c r="AK7" i="3" s="1"/>
  <c r="AT6" i="3"/>
  <c r="BA6" i="3"/>
  <c r="BB6" i="3" s="1"/>
  <c r="W7" i="3"/>
  <c r="X6" i="3"/>
  <c r="AO6" i="3"/>
  <c r="AO7" i="3" s="1"/>
  <c r="AP5" i="3"/>
  <c r="AX5" i="3"/>
  <c r="AW6" i="3"/>
  <c r="H5" i="3"/>
  <c r="Z5" i="3"/>
  <c r="Y6" i="3"/>
  <c r="AR5" i="3"/>
  <c r="AQ6" i="3"/>
  <c r="D5" i="3"/>
  <c r="V6" i="3"/>
  <c r="AE7" i="3"/>
  <c r="AF6" i="3"/>
  <c r="AF5" i="3"/>
  <c r="AM6" i="3"/>
  <c r="AM7" i="3" s="1"/>
  <c r="AN5" i="3"/>
  <c r="J6" i="3"/>
  <c r="AQ7" i="2"/>
  <c r="AP8" i="2"/>
  <c r="AF9" i="2"/>
  <c r="AI7" i="2"/>
  <c r="AH8" i="2"/>
  <c r="AN8" i="2"/>
  <c r="AO7" i="2"/>
  <c r="AY9" i="2"/>
  <c r="AY10" i="2"/>
  <c r="AU6" i="3"/>
  <c r="AV6" i="3" s="1"/>
  <c r="BF8" i="3"/>
  <c r="P6" i="3"/>
  <c r="M6" i="3"/>
  <c r="N6" i="3" s="1"/>
  <c r="AZ6" i="3"/>
  <c r="J7" i="3" l="1"/>
  <c r="C8" i="3"/>
  <c r="D8" i="3" s="1"/>
  <c r="D7" i="3"/>
  <c r="D6" i="3"/>
  <c r="C9" i="3"/>
  <c r="J8" i="3"/>
  <c r="O7" i="3"/>
  <c r="P7" i="3" s="1"/>
  <c r="BA7" i="3"/>
  <c r="BA8" i="3" s="1"/>
  <c r="E8" i="3"/>
  <c r="AK8" i="3"/>
  <c r="AL8" i="3" s="1"/>
  <c r="AL7" i="3"/>
  <c r="AP7" i="3"/>
  <c r="AO8" i="3"/>
  <c r="AP8" i="3" s="1"/>
  <c r="J9" i="3"/>
  <c r="J10" i="3"/>
  <c r="AR6" i="3"/>
  <c r="H6" i="3"/>
  <c r="AA7" i="3"/>
  <c r="AJ6" i="3"/>
  <c r="AN6" i="3"/>
  <c r="X7" i="3"/>
  <c r="W8" i="3"/>
  <c r="AM8" i="3"/>
  <c r="AN8" i="3" s="1"/>
  <c r="AN7" i="3"/>
  <c r="AL6" i="3"/>
  <c r="AF7" i="3"/>
  <c r="AE8" i="3"/>
  <c r="Z6" i="3"/>
  <c r="AX6" i="3"/>
  <c r="AH6" i="3"/>
  <c r="AG9" i="3"/>
  <c r="U7" i="3"/>
  <c r="AQ7" i="3"/>
  <c r="Y7" i="3"/>
  <c r="AW7" i="3"/>
  <c r="AP6" i="3"/>
  <c r="AT7" i="3"/>
  <c r="AS8" i="3"/>
  <c r="AI7" i="3"/>
  <c r="F6" i="3"/>
  <c r="AG9" i="2"/>
  <c r="AF10" i="2"/>
  <c r="AG10" i="2" s="1"/>
  <c r="AO8" i="2"/>
  <c r="AN9" i="2"/>
  <c r="AE9" i="2"/>
  <c r="AD10" i="2"/>
  <c r="AE10" i="2" s="1"/>
  <c r="AI8" i="2"/>
  <c r="AH9" i="2"/>
  <c r="AQ8" i="2"/>
  <c r="AP9" i="2"/>
  <c r="S7" i="3"/>
  <c r="T7" i="3" s="1"/>
  <c r="AY7" i="3"/>
  <c r="AY8" i="3" s="1"/>
  <c r="M7" i="3"/>
  <c r="M8" i="3" s="1"/>
  <c r="AU7" i="3"/>
  <c r="BB7" i="3" l="1"/>
  <c r="D9" i="3"/>
  <c r="C10" i="3"/>
  <c r="D10" i="3" s="1"/>
  <c r="AO9" i="3"/>
  <c r="AP9" i="3" s="1"/>
  <c r="F8" i="3"/>
  <c r="E9" i="3"/>
  <c r="E10" i="3" s="1"/>
  <c r="O8" i="3"/>
  <c r="O9" i="3" s="1"/>
  <c r="O10" i="3" s="1"/>
  <c r="H7" i="3"/>
  <c r="G8" i="3"/>
  <c r="V7" i="3"/>
  <c r="U8" i="3"/>
  <c r="Y8" i="3"/>
  <c r="Z7" i="3"/>
  <c r="AH9" i="3"/>
  <c r="AG10" i="3"/>
  <c r="AH10" i="3" s="1"/>
  <c r="AF8" i="3"/>
  <c r="AE9" i="3"/>
  <c r="AA8" i="3"/>
  <c r="AB7" i="3"/>
  <c r="AJ7" i="3"/>
  <c r="AI8" i="3"/>
  <c r="AR7" i="3"/>
  <c r="AQ8" i="3"/>
  <c r="AM9" i="3"/>
  <c r="AS9" i="3"/>
  <c r="AS10" i="3" s="1"/>
  <c r="AT8" i="3"/>
  <c r="AW8" i="3"/>
  <c r="AX7" i="3"/>
  <c r="AK9" i="3"/>
  <c r="X8" i="3"/>
  <c r="W9" i="3"/>
  <c r="BB8" i="3"/>
  <c r="BA9" i="3"/>
  <c r="AI9" i="2"/>
  <c r="AH10" i="2"/>
  <c r="AI10" i="2" s="1"/>
  <c r="AQ9" i="2"/>
  <c r="AP10" i="2"/>
  <c r="AQ10" i="2" s="1"/>
  <c r="AO9" i="2"/>
  <c r="AN10" i="2"/>
  <c r="AO10" i="2" s="1"/>
  <c r="AV7" i="3"/>
  <c r="S9" i="3"/>
  <c r="N7" i="3"/>
  <c r="AZ7" i="3"/>
  <c r="AO10" i="3" l="1"/>
  <c r="AP10" i="3" s="1"/>
  <c r="P8" i="3"/>
  <c r="F9" i="3"/>
  <c r="F10" i="3"/>
  <c r="AX8" i="3"/>
  <c r="AW9" i="3"/>
  <c r="AF9" i="3"/>
  <c r="AE10" i="3"/>
  <c r="AF10" i="3" s="1"/>
  <c r="U9" i="3"/>
  <c r="V8" i="3"/>
  <c r="Z8" i="3"/>
  <c r="Y9" i="3"/>
  <c r="AL9" i="3"/>
  <c r="AK10" i="3"/>
  <c r="AL10" i="3" s="1"/>
  <c r="AJ8" i="3"/>
  <c r="AI9" i="3"/>
  <c r="AT10" i="3"/>
  <c r="AT9" i="3"/>
  <c r="H8" i="3"/>
  <c r="G9" i="3"/>
  <c r="BB9" i="3"/>
  <c r="BA10" i="3"/>
  <c r="BB10" i="3" s="1"/>
  <c r="AR8" i="3"/>
  <c r="AQ9" i="3"/>
  <c r="T9" i="3"/>
  <c r="S10" i="3"/>
  <c r="T10" i="3" s="1"/>
  <c r="W10" i="3"/>
  <c r="X10" i="3" s="1"/>
  <c r="X9" i="3"/>
  <c r="AN9" i="3"/>
  <c r="AM10" i="3"/>
  <c r="AN10" i="3" s="1"/>
  <c r="AB8" i="3"/>
  <c r="AA9" i="3"/>
  <c r="M9" i="3"/>
  <c r="N8" i="3"/>
  <c r="AU9" i="3"/>
  <c r="AV8" i="3"/>
  <c r="AZ8" i="3"/>
  <c r="AY9" i="3"/>
  <c r="P9" i="3"/>
  <c r="P10" i="3"/>
  <c r="AR9" i="3" l="1"/>
  <c r="AQ10" i="3"/>
  <c r="AR10" i="3" s="1"/>
  <c r="H9" i="3"/>
  <c r="G10" i="3"/>
  <c r="H10" i="3" s="1"/>
  <c r="AJ9" i="3"/>
  <c r="AI10" i="3"/>
  <c r="AJ10" i="3" s="1"/>
  <c r="Z9" i="3"/>
  <c r="Y10" i="3"/>
  <c r="Z10" i="3" s="1"/>
  <c r="AA10" i="3"/>
  <c r="AB10" i="3" s="1"/>
  <c r="AB9" i="3"/>
  <c r="AX9" i="3"/>
  <c r="AW10" i="3"/>
  <c r="AX10" i="3" s="1"/>
  <c r="V9" i="3"/>
  <c r="U10" i="3"/>
  <c r="V10" i="3" s="1"/>
  <c r="AV9" i="3"/>
  <c r="AU10" i="3"/>
  <c r="AV10" i="3" s="1"/>
  <c r="AZ9" i="3"/>
  <c r="AY10" i="3"/>
  <c r="AZ10" i="3" s="1"/>
  <c r="N9" i="3"/>
  <c r="M10" i="3"/>
  <c r="N10" i="3" s="1"/>
  <c r="BP11" i="1" l="1"/>
  <c r="BP10" i="1"/>
  <c r="BH12" i="1"/>
  <c r="BH9" i="1"/>
  <c r="DH10" i="1" l="1"/>
  <c r="DH11" i="1"/>
  <c r="DH12" i="1"/>
  <c r="DH9" i="1"/>
  <c r="CZ10" i="1" l="1"/>
  <c r="CZ9" i="1"/>
  <c r="CR12" i="1"/>
  <c r="CR11" i="1"/>
  <c r="CR9" i="1"/>
  <c r="CN9" i="1"/>
  <c r="CN8" i="1"/>
  <c r="CJ12" i="1"/>
  <c r="CJ11" i="1"/>
  <c r="CJ10" i="1"/>
  <c r="CJ9" i="1"/>
  <c r="BX10" i="1"/>
  <c r="BX11" i="1"/>
  <c r="BX12" i="1"/>
  <c r="BX9" i="1"/>
  <c r="BT10" i="1"/>
  <c r="BT11" i="1"/>
  <c r="BT12" i="1"/>
  <c r="BT9" i="1"/>
  <c r="BO12" i="1"/>
  <c r="BP12" i="1" s="1"/>
  <c r="BD8" i="1"/>
  <c r="BD5" i="1" s="1"/>
  <c r="AZ11" i="1"/>
  <c r="AZ12" i="1"/>
  <c r="AZ10" i="1"/>
  <c r="AZ9" i="1"/>
  <c r="AV12" i="1"/>
  <c r="AV10" i="1"/>
  <c r="AV11" i="1"/>
  <c r="AV9" i="1"/>
  <c r="AR10" i="1"/>
  <c r="AR11" i="1"/>
  <c r="AR12" i="1"/>
  <c r="AR9" i="1"/>
  <c r="AN10" i="1"/>
  <c r="AN11" i="1"/>
  <c r="AN12" i="1"/>
  <c r="AN9" i="1"/>
  <c r="AJ10" i="1"/>
  <c r="AJ11" i="1"/>
  <c r="AJ12" i="1"/>
  <c r="AJ9" i="1"/>
  <c r="AF10" i="1"/>
  <c r="AF11" i="1"/>
  <c r="AF12" i="1"/>
  <c r="AF9" i="1"/>
  <c r="AB12" i="1"/>
  <c r="AB10" i="1"/>
  <c r="AB9" i="1"/>
  <c r="X10" i="1"/>
  <c r="X11" i="1"/>
  <c r="X9" i="1"/>
  <c r="X8" i="1"/>
  <c r="T12" i="1"/>
  <c r="T11" i="1"/>
  <c r="T10" i="1"/>
  <c r="T9" i="1"/>
  <c r="P12" i="1"/>
  <c r="P11" i="1"/>
  <c r="P9" i="1"/>
  <c r="L11" i="1"/>
  <c r="L10" i="1"/>
  <c r="L9" i="1"/>
  <c r="H12" i="1"/>
  <c r="H11" i="1"/>
  <c r="H10" i="1"/>
  <c r="H9" i="1"/>
  <c r="D10" i="1"/>
  <c r="D11" i="1"/>
  <c r="D12" i="1"/>
  <c r="D9" i="1"/>
  <c r="CN5" i="1" l="1"/>
  <c r="AT6" i="2"/>
  <c r="L6" i="2"/>
  <c r="X5" i="1"/>
  <c r="DI12" i="1"/>
  <c r="DI8" i="1" s="1"/>
  <c r="DA8" i="1"/>
  <c r="DA5" i="1" s="1"/>
  <c r="CK10" i="1"/>
  <c r="CK8" i="1" s="1"/>
  <c r="CK5" i="1" s="1"/>
  <c r="BM10" i="1"/>
  <c r="AX16" i="1"/>
  <c r="BA8" i="1"/>
  <c r="BA5" i="1" s="1"/>
  <c r="AS8" i="1"/>
  <c r="AS5" i="1" s="1"/>
  <c r="AO12" i="1"/>
  <c r="AO10" i="1"/>
  <c r="AO9" i="1"/>
  <c r="AO8" i="1" s="1"/>
  <c r="AO5" i="1" s="1"/>
  <c r="AK12" i="1"/>
  <c r="AK11" i="1"/>
  <c r="AK10" i="1"/>
  <c r="AK9" i="1"/>
  <c r="AG8" i="1"/>
  <c r="AC12" i="1"/>
  <c r="AC9" i="1"/>
  <c r="R16" i="1"/>
  <c r="N16" i="1"/>
  <c r="Q10" i="1"/>
  <c r="Q8" i="1" s="1"/>
  <c r="Q5" i="1" s="1"/>
  <c r="CX16" i="1"/>
  <c r="BN16" i="1"/>
  <c r="BJ16" i="1"/>
  <c r="AT16" i="1"/>
  <c r="AP16" i="1"/>
  <c r="AL16" i="1"/>
  <c r="Z16" i="1"/>
  <c r="F16" i="1"/>
  <c r="B16" i="1"/>
  <c r="CX12" i="1"/>
  <c r="CZ12" i="1" s="1"/>
  <c r="DF8" i="1"/>
  <c r="DF5" i="1" s="1"/>
  <c r="CP8" i="1"/>
  <c r="CP5" i="1" s="1"/>
  <c r="CH8" i="1"/>
  <c r="CH5" i="1" s="1"/>
  <c r="BV8" i="1"/>
  <c r="BV5" i="1" s="1"/>
  <c r="BR8" i="1"/>
  <c r="BR5" i="1" s="1"/>
  <c r="BJ8" i="1"/>
  <c r="BJ5" i="1" s="1"/>
  <c r="BL5" i="1" s="1"/>
  <c r="AX8" i="1"/>
  <c r="AX5" i="1" s="1"/>
  <c r="AT8" i="1"/>
  <c r="AT5" i="1" s="1"/>
  <c r="AP8" i="1"/>
  <c r="AP5" i="1" s="1"/>
  <c r="AL8" i="1"/>
  <c r="AL5" i="1" s="1"/>
  <c r="AH8" i="1"/>
  <c r="AH5" i="1" s="1"/>
  <c r="AD8" i="1"/>
  <c r="AD5" i="1" s="1"/>
  <c r="Z8" i="1"/>
  <c r="Z5" i="1" s="1"/>
  <c r="R8" i="1"/>
  <c r="R5" i="1" s="1"/>
  <c r="N8" i="1"/>
  <c r="N5" i="1" s="1"/>
  <c r="J8" i="1"/>
  <c r="J5" i="1" s="1"/>
  <c r="F8" i="1"/>
  <c r="F5" i="1" s="1"/>
  <c r="B8" i="1"/>
  <c r="B5" i="1" s="1"/>
  <c r="DI5" i="1" l="1"/>
  <c r="BE6" i="3"/>
  <c r="M6" i="2"/>
  <c r="L7" i="2"/>
  <c r="CX8" i="1"/>
  <c r="CX5" i="1" s="1"/>
  <c r="AK8" i="1"/>
  <c r="AK5" i="1" s="1"/>
  <c r="AT7" i="2"/>
  <c r="AU6" i="2"/>
  <c r="AG5" i="1"/>
  <c r="Q6" i="3"/>
  <c r="H8" i="1"/>
  <c r="AF8" i="1"/>
  <c r="BX8" i="1"/>
  <c r="DH8" i="1"/>
  <c r="AR8" i="1"/>
  <c r="CZ8" i="1"/>
  <c r="AV8" i="1"/>
  <c r="P8" i="1"/>
  <c r="AJ8" i="1"/>
  <c r="AZ8" i="1"/>
  <c r="CJ8" i="1"/>
  <c r="AB8" i="1"/>
  <c r="BT8" i="1"/>
  <c r="L8" i="1"/>
  <c r="D8" i="1"/>
  <c r="T8" i="1"/>
  <c r="AN8" i="1"/>
  <c r="CR8" i="1"/>
  <c r="L6" i="3" l="1"/>
  <c r="K7" i="3"/>
  <c r="K8" i="3" s="1"/>
  <c r="K9" i="3" s="1"/>
  <c r="K10" i="3" s="1"/>
  <c r="D5" i="1"/>
  <c r="BX5" i="1"/>
  <c r="AL6" i="2"/>
  <c r="AT8" i="2"/>
  <c r="T5" i="1"/>
  <c r="H6" i="2"/>
  <c r="P5" i="1"/>
  <c r="L8" i="2"/>
  <c r="M7" i="2"/>
  <c r="AV5" i="1"/>
  <c r="X6" i="2"/>
  <c r="AV6" i="2"/>
  <c r="CR5" i="1"/>
  <c r="F6" i="2"/>
  <c r="L5" i="1"/>
  <c r="Z6" i="2"/>
  <c r="AZ5" i="1"/>
  <c r="AZ6" i="2"/>
  <c r="CZ5" i="1"/>
  <c r="P6" i="2"/>
  <c r="AF5" i="1"/>
  <c r="R6" i="3"/>
  <c r="Q7" i="3"/>
  <c r="BE7" i="3"/>
  <c r="BF7" i="3" s="1"/>
  <c r="BF6" i="3"/>
  <c r="BE9" i="3"/>
  <c r="N6" i="2"/>
  <c r="AB5" i="1"/>
  <c r="BD6" i="2"/>
  <c r="DH5" i="1"/>
  <c r="CJ5" i="1"/>
  <c r="T6" i="2"/>
  <c r="AN5" i="1"/>
  <c r="BT5" i="1"/>
  <c r="AJ6" i="2"/>
  <c r="AJ5" i="1"/>
  <c r="R6" i="2"/>
  <c r="V6" i="2"/>
  <c r="AR5" i="1"/>
  <c r="D6" i="2"/>
  <c r="H5" i="1"/>
  <c r="AS6" i="2" l="1"/>
  <c r="AR7" i="2"/>
  <c r="Y6" i="2"/>
  <c r="X7" i="2"/>
  <c r="S6" i="2"/>
  <c r="R7" i="2"/>
  <c r="BF9" i="3"/>
  <c r="BE10" i="3"/>
  <c r="BF10" i="3" s="1"/>
  <c r="AZ7" i="2"/>
  <c r="F7" i="2"/>
  <c r="G6" i="2"/>
  <c r="H7" i="2"/>
  <c r="I6" i="2"/>
  <c r="AT9" i="2"/>
  <c r="AU8" i="2"/>
  <c r="C6" i="2"/>
  <c r="B7" i="2"/>
  <c r="C7" i="2" s="1"/>
  <c r="R7" i="3"/>
  <c r="Q8" i="3"/>
  <c r="E6" i="2"/>
  <c r="U6" i="2"/>
  <c r="T7" i="2"/>
  <c r="BE6" i="2"/>
  <c r="BD7" i="2"/>
  <c r="BE7" i="2" s="1"/>
  <c r="BD9" i="2"/>
  <c r="K6" i="2"/>
  <c r="J7" i="2"/>
  <c r="AM6" i="2"/>
  <c r="AL7" i="2"/>
  <c r="L7" i="3"/>
  <c r="W6" i="2"/>
  <c r="V7" i="2"/>
  <c r="N7" i="2"/>
  <c r="O6" i="2"/>
  <c r="AK6" i="2"/>
  <c r="AJ7" i="2"/>
  <c r="Q6" i="2"/>
  <c r="P7" i="2"/>
  <c r="AA6" i="2"/>
  <c r="Z7" i="2"/>
  <c r="AV7" i="2"/>
  <c r="L9" i="2"/>
  <c r="M8" i="2"/>
  <c r="L10" i="2" l="1"/>
  <c r="M10" i="2" s="1"/>
  <c r="M9" i="2"/>
  <c r="T8" i="2"/>
  <c r="U7" i="2"/>
  <c r="AV8" i="2"/>
  <c r="AW7" i="2"/>
  <c r="AJ8" i="2"/>
  <c r="AK7" i="2"/>
  <c r="O7" i="2"/>
  <c r="L8" i="3"/>
  <c r="BE9" i="2"/>
  <c r="BD10" i="2"/>
  <c r="BE10" i="2" s="1"/>
  <c r="E7" i="2"/>
  <c r="B8" i="2"/>
  <c r="AR8" i="2"/>
  <c r="AS7" i="2"/>
  <c r="Z8" i="2"/>
  <c r="AA7" i="2"/>
  <c r="R8" i="2"/>
  <c r="S7" i="2"/>
  <c r="W7" i="2"/>
  <c r="V8" i="2"/>
  <c r="Q9" i="3"/>
  <c r="Q10" i="3" s="1"/>
  <c r="R8" i="3"/>
  <c r="F8" i="2"/>
  <c r="G7" i="2"/>
  <c r="X8" i="2"/>
  <c r="Y7" i="2"/>
  <c r="AT10" i="2"/>
  <c r="AU10" i="2" s="1"/>
  <c r="AU9" i="2"/>
  <c r="P8" i="2"/>
  <c r="Q7" i="2"/>
  <c r="AM7" i="2"/>
  <c r="AL8" i="2"/>
  <c r="K7" i="2"/>
  <c r="I7" i="2"/>
  <c r="H8" i="2"/>
  <c r="AZ8" i="2"/>
  <c r="BA7" i="2"/>
  <c r="E8" i="2" l="1"/>
  <c r="D9" i="2"/>
  <c r="L9" i="3"/>
  <c r="L10" i="3"/>
  <c r="Y8" i="2"/>
  <c r="X9" i="2"/>
  <c r="R9" i="3"/>
  <c r="R10" i="3"/>
  <c r="S8" i="2"/>
  <c r="R9" i="2"/>
  <c r="AS8" i="2"/>
  <c r="AR9" i="2"/>
  <c r="AK8" i="2"/>
  <c r="AJ9" i="2"/>
  <c r="U8" i="2"/>
  <c r="T9" i="2"/>
  <c r="BA8" i="2"/>
  <c r="AZ9" i="2"/>
  <c r="K8" i="2"/>
  <c r="J9" i="2"/>
  <c r="Q8" i="2"/>
  <c r="P9" i="2"/>
  <c r="I8" i="2"/>
  <c r="H9" i="2"/>
  <c r="AM8" i="2"/>
  <c r="AL9" i="2"/>
  <c r="W8" i="2"/>
  <c r="V9" i="2"/>
  <c r="C8" i="2"/>
  <c r="B9" i="2"/>
  <c r="G8" i="2"/>
  <c r="F9" i="2"/>
  <c r="AA8" i="2"/>
  <c r="Z9" i="2"/>
  <c r="O8" i="2"/>
  <c r="N9" i="2"/>
  <c r="AW8" i="2"/>
  <c r="AV9" i="2"/>
  <c r="N10" i="2" l="1"/>
  <c r="O10" i="2" s="1"/>
  <c r="O9" i="2"/>
  <c r="W9" i="2"/>
  <c r="V10" i="2"/>
  <c r="W10" i="2" s="1"/>
  <c r="U9" i="2"/>
  <c r="T10" i="2"/>
  <c r="U10" i="2" s="1"/>
  <c r="AS9" i="2"/>
  <c r="AR10" i="2"/>
  <c r="AS10" i="2" s="1"/>
  <c r="F10" i="2"/>
  <c r="G10" i="2" s="1"/>
  <c r="G9" i="2"/>
  <c r="K9" i="2"/>
  <c r="J10" i="2"/>
  <c r="K10" i="2" s="1"/>
  <c r="AW9" i="2"/>
  <c r="AV10" i="2"/>
  <c r="AW10" i="2" s="1"/>
  <c r="AA9" i="2"/>
  <c r="Z10" i="2"/>
  <c r="AA10" i="2" s="1"/>
  <c r="B10" i="2"/>
  <c r="C10" i="2" s="1"/>
  <c r="C9" i="2"/>
  <c r="AM9" i="2"/>
  <c r="AL10" i="2"/>
  <c r="AM10" i="2" s="1"/>
  <c r="Q9" i="2"/>
  <c r="P10" i="2"/>
  <c r="Q10" i="2" s="1"/>
  <c r="BA9" i="2"/>
  <c r="AZ10" i="2"/>
  <c r="BA10" i="2" s="1"/>
  <c r="AK9" i="2"/>
  <c r="AJ10" i="2"/>
  <c r="AK10" i="2" s="1"/>
  <c r="S9" i="2"/>
  <c r="R10" i="2"/>
  <c r="S10" i="2" s="1"/>
  <c r="Y9" i="2"/>
  <c r="X10" i="2"/>
  <c r="Y10" i="2" s="1"/>
  <c r="E9" i="2"/>
  <c r="D10" i="2"/>
  <c r="E10" i="2" s="1"/>
  <c r="H10" i="2"/>
  <c r="I10" i="2" s="1"/>
  <c r="I9" i="2"/>
  <c r="U8" i="1"/>
  <c r="U5" i="1" l="1"/>
</calcChain>
</file>

<file path=xl/comments1.xml><?xml version="1.0" encoding="utf-8"?>
<comments xmlns="http://schemas.openxmlformats.org/spreadsheetml/2006/main">
  <authors>
    <author>Roxana</author>
    <author>Autor</author>
    <author>Alina CF</author>
    <author>Claudia CF</author>
    <author>Iuliana</author>
  </authors>
  <commentList>
    <comment ref="R4" authorId="0">
      <text>
        <r>
          <rPr>
            <b/>
            <sz val="9"/>
            <color indexed="81"/>
            <rFont val="Tahoma"/>
            <family val="2"/>
          </rPr>
          <t>Roxana:</t>
        </r>
        <r>
          <rPr>
            <sz val="9"/>
            <color indexed="81"/>
            <rFont val="Tahoma"/>
            <family val="2"/>
          </rPr>
          <t xml:space="preserve">
De la 3.480 EUR</t>
        </r>
      </text>
    </comment>
    <comment ref="BF4" authorId="0">
      <text>
        <r>
          <rPr>
            <b/>
            <sz val="9"/>
            <color indexed="81"/>
            <rFont val="Tahoma"/>
            <family val="2"/>
          </rPr>
          <t>Roxana:</t>
        </r>
        <r>
          <rPr>
            <sz val="9"/>
            <color indexed="81"/>
            <rFont val="Tahoma"/>
            <family val="2"/>
          </rPr>
          <t xml:space="preserve">
Aferent salariului minim</t>
        </r>
      </text>
    </comment>
    <comment ref="BR4" authorId="0">
      <text>
        <r>
          <rPr>
            <b/>
            <sz val="9"/>
            <color indexed="81"/>
            <rFont val="Tahoma"/>
            <family val="2"/>
          </rPr>
          <t>Roxana:</t>
        </r>
        <r>
          <rPr>
            <sz val="9"/>
            <color indexed="81"/>
            <rFont val="Tahoma"/>
            <family val="2"/>
          </rPr>
          <t xml:space="preserve">
Aferent salariului mediu</t>
        </r>
      </text>
    </comment>
    <comment ref="CK4" authorId="1">
      <text>
        <r>
          <rPr>
            <b/>
            <sz val="9"/>
            <color indexed="81"/>
            <rFont val="Segoe UI"/>
            <family val="2"/>
            <charset val="238"/>
          </rPr>
          <t>Autor:</t>
        </r>
        <r>
          <rPr>
            <sz val="9"/>
            <color indexed="81"/>
            <rFont val="Segoe UI"/>
            <family val="2"/>
            <charset val="238"/>
          </rPr>
          <t xml:space="preserve">
OECD</t>
        </r>
      </text>
    </comment>
    <comment ref="BK5" authorId="2">
      <text>
        <r>
          <rPr>
            <b/>
            <sz val="9"/>
            <color indexed="81"/>
            <rFont val="Segoe UI"/>
            <family val="2"/>
            <charset val="238"/>
          </rPr>
          <t>Alina : Angajatorii privati</t>
        </r>
        <r>
          <rPr>
            <sz val="9"/>
            <color indexed="81"/>
            <rFont val="Segoe UI"/>
            <family val="2"/>
            <charset val="238"/>
          </rPr>
          <t xml:space="preserve">
</t>
        </r>
      </text>
    </comment>
    <comment ref="M8" authorId="3">
      <text>
        <r>
          <rPr>
            <b/>
            <sz val="9"/>
            <color indexed="81"/>
            <rFont val="Segoe UI"/>
            <family val="2"/>
            <charset val="238"/>
          </rPr>
          <t>Claudia CF:</t>
        </r>
        <r>
          <rPr>
            <sz val="9"/>
            <color indexed="81"/>
            <rFont val="Segoe UI"/>
            <family val="2"/>
            <charset val="238"/>
          </rPr>
          <t xml:space="preserve">
PFA-ul plateste ca angajatorul</t>
        </r>
      </text>
    </comment>
    <comment ref="AG8" authorId="1">
      <text>
        <r>
          <rPr>
            <b/>
            <sz val="9"/>
            <color indexed="81"/>
            <rFont val="Segoe UI"/>
            <family val="2"/>
            <charset val="238"/>
          </rPr>
          <t>Autor:</t>
        </r>
        <r>
          <rPr>
            <sz val="9"/>
            <color indexed="81"/>
            <rFont val="Segoe UI"/>
            <family val="2"/>
            <charset val="238"/>
          </rPr>
          <t xml:space="preserve">
contributia totala 31,8% daca alege 26,3% la pensii</t>
        </r>
      </text>
    </comment>
    <comment ref="AK8" authorId="4">
      <text>
        <r>
          <rPr>
            <b/>
            <sz val="9"/>
            <color indexed="81"/>
            <rFont val="Segoe UI"/>
            <family val="2"/>
            <charset val="238"/>
          </rPr>
          <t>Iuliana:</t>
        </r>
        <r>
          <rPr>
            <sz val="9"/>
            <color indexed="81"/>
            <rFont val="Segoe UI"/>
            <family val="2"/>
            <charset val="238"/>
          </rPr>
          <t xml:space="preserve">
plus 8,91% contributii sociale angajator PFA . Baza de calcul este profitul realizat din afacere
</t>
        </r>
      </text>
    </comment>
    <comment ref="AO8" authorId="4">
      <text>
        <r>
          <rPr>
            <b/>
            <sz val="9"/>
            <color indexed="81"/>
            <rFont val="Segoe UI"/>
            <family val="2"/>
            <charset val="238"/>
          </rPr>
          <t>Iuliana:</t>
        </r>
        <r>
          <rPr>
            <sz val="9"/>
            <color indexed="81"/>
            <rFont val="Segoe UI"/>
            <family val="2"/>
            <charset val="238"/>
          </rPr>
          <t xml:space="preserve">
Baza de calcul pentru sanatate 62,5% din venitul lunar; pentru pensii si celelalte contributii 52,6% din venitul lunar</t>
        </r>
      </text>
    </comment>
    <comment ref="Q9" authorId="1">
      <text>
        <r>
          <rPr>
            <b/>
            <sz val="9"/>
            <color indexed="81"/>
            <rFont val="Segoe UI"/>
            <family val="2"/>
            <charset val="238"/>
          </rPr>
          <t>Autor:</t>
        </r>
        <r>
          <rPr>
            <sz val="9"/>
            <color indexed="81"/>
            <rFont val="Segoe UI"/>
            <family val="2"/>
            <charset val="238"/>
          </rPr>
          <t xml:space="preserve">
15% Pilon 1, 5% Pilon 2</t>
        </r>
      </text>
    </comment>
    <comment ref="U9" authorId="1">
      <text>
        <r>
          <rPr>
            <b/>
            <sz val="9"/>
            <color indexed="81"/>
            <rFont val="Segoe UI"/>
            <family val="2"/>
            <charset val="238"/>
          </rPr>
          <t xml:space="preserve">Autor:
Plafon baza impozabila de jumatate din venit si maxim </t>
        </r>
        <r>
          <rPr>
            <sz val="9"/>
            <color indexed="81"/>
            <rFont val="Segoe UI"/>
            <family val="2"/>
            <charset val="238"/>
          </rPr>
          <t>48 venituri medii din anul curent</t>
        </r>
      </text>
    </comment>
    <comment ref="AG9" authorId="1">
      <text>
        <r>
          <rPr>
            <b/>
            <sz val="9"/>
            <color indexed="81"/>
            <rFont val="Segoe UI"/>
            <family val="2"/>
            <charset val="238"/>
          </rPr>
          <t>Alina:</t>
        </r>
        <r>
          <rPr>
            <sz val="9"/>
            <color indexed="81"/>
            <rFont val="Segoe UI"/>
            <family val="2"/>
            <charset val="238"/>
          </rPr>
          <t xml:space="preserve">
Sau 26,3% pentru a beneficia de un stagiu complet de cotizare pentru pensie. Cota de 10,5% asigura o treime din pensie</t>
        </r>
      </text>
    </comment>
    <comment ref="BA9" authorId="1">
      <text>
        <r>
          <rPr>
            <b/>
            <sz val="9"/>
            <color indexed="81"/>
            <rFont val="Segoe UI"/>
            <family val="2"/>
            <charset val="238"/>
          </rPr>
          <t>Autor:</t>
        </r>
        <r>
          <rPr>
            <sz val="9"/>
            <color indexed="81"/>
            <rFont val="Segoe UI"/>
            <family val="2"/>
            <charset val="238"/>
          </rPr>
          <t xml:space="preserve">
din care 15% Pilon 1 si 5% Pilon 2</t>
        </r>
      </text>
    </comment>
    <comment ref="CP9" authorId="0">
      <text>
        <r>
          <rPr>
            <b/>
            <sz val="9"/>
            <color indexed="81"/>
            <rFont val="Tahoma"/>
            <family val="2"/>
          </rPr>
          <t>Roxana:</t>
        </r>
        <r>
          <rPr>
            <sz val="9"/>
            <color indexed="81"/>
            <rFont val="Tahoma"/>
            <family val="2"/>
          </rPr>
          <t xml:space="preserve">
General benefits fund (Pensii+Sanatate)</t>
        </r>
      </text>
    </comment>
    <comment ref="U10" authorId="1">
      <text>
        <r>
          <rPr>
            <b/>
            <sz val="9"/>
            <color indexed="81"/>
            <rFont val="Segoe UI"/>
            <family val="2"/>
            <charset val="238"/>
          </rPr>
          <t>Autor:</t>
        </r>
        <r>
          <rPr>
            <sz val="9"/>
            <color indexed="81"/>
            <rFont val="Segoe UI"/>
            <family val="2"/>
            <charset val="238"/>
          </rPr>
          <t xml:space="preserve">
Plafon baza impozabila: jumatate din castigul salarial minim</t>
        </r>
      </text>
    </comment>
    <comment ref="CK10" authorId="1">
      <text>
        <r>
          <rPr>
            <b/>
            <sz val="9"/>
            <color indexed="81"/>
            <rFont val="Segoe UI"/>
            <family val="2"/>
            <charset val="238"/>
          </rPr>
          <t>Autor:</t>
        </r>
        <r>
          <rPr>
            <sz val="9"/>
            <color indexed="81"/>
            <rFont val="Segoe UI"/>
            <family val="2"/>
            <charset val="238"/>
          </rPr>
          <t xml:space="preserve">
5,5% sanatate, 9,65% ingrijire pe termen lung
</t>
        </r>
      </text>
    </comment>
    <comment ref="AC12" authorId="1">
      <text>
        <r>
          <rPr>
            <b/>
            <sz val="9"/>
            <color indexed="81"/>
            <rFont val="Segoe UI"/>
            <family val="2"/>
            <charset val="238"/>
          </rPr>
          <t>Alina : 6,5 Pensie de invaliditate</t>
        </r>
        <r>
          <rPr>
            <sz val="9"/>
            <color indexed="81"/>
            <rFont val="Segoe UI"/>
            <family val="2"/>
            <charset val="238"/>
          </rPr>
          <t xml:space="preserve">
0,4-8,12 pentru accidente de munca</t>
        </r>
      </text>
    </comment>
    <comment ref="AK12" authorId="1">
      <text>
        <r>
          <rPr>
            <b/>
            <sz val="9"/>
            <color indexed="81"/>
            <rFont val="Segoe UI"/>
            <family val="2"/>
            <charset val="238"/>
          </rPr>
          <t>Autor:</t>
        </r>
        <r>
          <rPr>
            <sz val="9"/>
            <color indexed="81"/>
            <rFont val="Segoe UI"/>
            <family val="2"/>
            <charset val="238"/>
          </rPr>
          <t xml:space="preserve">
accidente+indemnizatie parentala</t>
        </r>
      </text>
    </comment>
    <comment ref="AO12" authorId="1">
      <text>
        <r>
          <rPr>
            <b/>
            <sz val="9"/>
            <color indexed="81"/>
            <rFont val="Segoe UI"/>
            <family val="2"/>
            <charset val="238"/>
          </rPr>
          <t>Autor:</t>
        </r>
        <r>
          <rPr>
            <sz val="9"/>
            <color indexed="81"/>
            <rFont val="Segoe UI"/>
            <family val="2"/>
            <charset val="238"/>
          </rPr>
          <t xml:space="preserve">
6% invaliditate, 4% boala. 4,75% fond solidaritate
</t>
        </r>
      </text>
    </comment>
    <comment ref="BA12" authorId="1">
      <text>
        <r>
          <rPr>
            <b/>
            <sz val="9"/>
            <color indexed="81"/>
            <rFont val="Segoe UI"/>
            <family val="2"/>
            <charset val="238"/>
          </rPr>
          <t>Autor:</t>
        </r>
        <r>
          <rPr>
            <sz val="9"/>
            <color indexed="81"/>
            <rFont val="Segoe UI"/>
            <family val="2"/>
            <charset val="238"/>
          </rPr>
          <t xml:space="preserve">
accidente </t>
        </r>
      </text>
    </comment>
    <comment ref="BE12" authorId="1">
      <text>
        <r>
          <rPr>
            <b/>
            <sz val="9"/>
            <color indexed="81"/>
            <rFont val="Segoe UI"/>
            <family val="2"/>
            <charset val="238"/>
          </rPr>
          <t>Autor:</t>
        </r>
        <r>
          <rPr>
            <sz val="9"/>
            <color indexed="81"/>
            <rFont val="Segoe UI"/>
            <family val="2"/>
            <charset val="238"/>
          </rPr>
          <t xml:space="preserve">
contributie pentru sustinerea finantelor publice</t>
        </r>
      </text>
    </comment>
    <comment ref="CK12" authorId="1">
      <text>
        <r>
          <rPr>
            <b/>
            <sz val="9"/>
            <color indexed="81"/>
            <rFont val="Segoe UI"/>
            <family val="2"/>
            <charset val="238"/>
          </rPr>
          <t>Autor:</t>
        </r>
        <r>
          <rPr>
            <sz val="9"/>
            <color indexed="81"/>
            <rFont val="Segoe UI"/>
            <family val="2"/>
            <charset val="238"/>
          </rPr>
          <t xml:space="preserve">
pentru supravietuitor</t>
        </r>
      </text>
    </comment>
    <comment ref="DI12" authorId="1">
      <text>
        <r>
          <rPr>
            <b/>
            <sz val="9"/>
            <color indexed="81"/>
            <rFont val="Segoe UI"/>
            <family val="2"/>
            <charset val="238"/>
          </rPr>
          <t>Alina :</t>
        </r>
        <r>
          <rPr>
            <sz val="9"/>
            <color indexed="81"/>
            <rFont val="Segoe UI"/>
            <family val="2"/>
            <charset val="238"/>
          </rPr>
          <t xml:space="preserve">
contribution for survivor's pension (1.17 %), the general wage tax (10.15 %), accidente de munca (0,3%) si concediu de maternitate (2,6%)</t>
        </r>
      </text>
    </comment>
    <comment ref="CS13" authorId="1">
      <text>
        <r>
          <rPr>
            <b/>
            <sz val="9"/>
            <color indexed="81"/>
            <rFont val="Segoe UI"/>
            <family val="2"/>
            <charset val="238"/>
          </rPr>
          <t>Autor:</t>
        </r>
        <r>
          <rPr>
            <sz val="9"/>
            <color indexed="81"/>
            <rFont val="Segoe UI"/>
            <family val="2"/>
            <charset val="238"/>
          </rPr>
          <t xml:space="preserve">
if you gain more than annual minimum wage </t>
        </r>
      </text>
    </comment>
    <comment ref="I14" authorId="1">
      <text>
        <r>
          <rPr>
            <b/>
            <sz val="9"/>
            <color indexed="81"/>
            <rFont val="Segoe UI"/>
            <family val="2"/>
            <charset val="238"/>
          </rPr>
          <t>Autor:</t>
        </r>
        <r>
          <rPr>
            <sz val="9"/>
            <color indexed="81"/>
            <rFont val="Segoe UI"/>
            <family val="2"/>
            <charset val="238"/>
          </rPr>
          <t xml:space="preserve">
Ceiling: four times the average annual salary</t>
        </r>
      </text>
    </comment>
    <comment ref="U14" authorId="2">
      <text>
        <r>
          <rPr>
            <b/>
            <sz val="9"/>
            <color indexed="81"/>
            <rFont val="Segoe UI"/>
            <family val="2"/>
            <charset val="238"/>
          </rPr>
          <t>Alina : Baza impozabila maxima</t>
        </r>
        <r>
          <rPr>
            <sz val="9"/>
            <color indexed="81"/>
            <rFont val="Segoe UI"/>
            <family val="2"/>
            <charset val="238"/>
          </rPr>
          <t xml:space="preserve">
</t>
        </r>
      </text>
    </comment>
  </commentList>
</comments>
</file>

<file path=xl/comments2.xml><?xml version="1.0" encoding="utf-8"?>
<comments xmlns="http://schemas.openxmlformats.org/spreadsheetml/2006/main">
  <authors>
    <author>Roxana</author>
    <author>Alina CF</author>
    <author>Autor</author>
    <author>Claudia CF</author>
    <author>Iuliana</author>
  </authors>
  <commentList>
    <comment ref="R4" authorId="0">
      <text>
        <r>
          <rPr>
            <b/>
            <sz val="9"/>
            <color indexed="81"/>
            <rFont val="Tahoma"/>
            <family val="2"/>
          </rPr>
          <t>Roxana:</t>
        </r>
        <r>
          <rPr>
            <sz val="9"/>
            <color indexed="81"/>
            <rFont val="Tahoma"/>
            <family val="2"/>
          </rPr>
          <t xml:space="preserve">
De la 3.480 EUR</t>
        </r>
      </text>
    </comment>
    <comment ref="T4" authorId="1">
      <text>
        <r>
          <rPr>
            <b/>
            <sz val="9"/>
            <color indexed="81"/>
            <rFont val="Segoe UI"/>
            <family val="2"/>
            <charset val="238"/>
          </rPr>
          <t>Alina CF:</t>
        </r>
        <r>
          <rPr>
            <sz val="9"/>
            <color indexed="81"/>
            <rFont val="Segoe UI"/>
            <family val="2"/>
            <charset val="238"/>
          </rPr>
          <t xml:space="preserve">
De la 3480 EUR</t>
        </r>
      </text>
    </comment>
    <comment ref="BF4" authorId="0">
      <text>
        <r>
          <rPr>
            <b/>
            <sz val="9"/>
            <color indexed="81"/>
            <rFont val="Tahoma"/>
            <family val="2"/>
          </rPr>
          <t>Roxana:</t>
        </r>
        <r>
          <rPr>
            <sz val="9"/>
            <color indexed="81"/>
            <rFont val="Tahoma"/>
            <family val="2"/>
          </rPr>
          <t xml:space="preserve">
Aferent salariului minim</t>
        </r>
      </text>
    </comment>
    <comment ref="BH4" authorId="0">
      <text>
        <r>
          <rPr>
            <b/>
            <sz val="9"/>
            <color indexed="81"/>
            <rFont val="Tahoma"/>
            <family val="2"/>
          </rPr>
          <t>Roxana:</t>
        </r>
        <r>
          <rPr>
            <sz val="9"/>
            <color indexed="81"/>
            <rFont val="Tahoma"/>
            <family val="2"/>
          </rPr>
          <t xml:space="preserve">
Aferent salariului minim</t>
        </r>
      </text>
    </comment>
    <comment ref="BR4" authorId="0">
      <text>
        <r>
          <rPr>
            <b/>
            <sz val="9"/>
            <color indexed="81"/>
            <rFont val="Tahoma"/>
            <family val="2"/>
          </rPr>
          <t>Roxana:</t>
        </r>
        <r>
          <rPr>
            <sz val="9"/>
            <color indexed="81"/>
            <rFont val="Tahoma"/>
            <family val="2"/>
          </rPr>
          <t xml:space="preserve">
Aferent salariului mediu</t>
        </r>
      </text>
    </comment>
    <comment ref="BT4" authorId="0">
      <text>
        <r>
          <rPr>
            <b/>
            <sz val="9"/>
            <color indexed="81"/>
            <rFont val="Tahoma"/>
            <family val="2"/>
          </rPr>
          <t>Roxana:</t>
        </r>
        <r>
          <rPr>
            <sz val="9"/>
            <color indexed="81"/>
            <rFont val="Tahoma"/>
            <family val="2"/>
          </rPr>
          <t xml:space="preserve">
Aferent salariului mediu</t>
        </r>
      </text>
    </comment>
    <comment ref="CK4" authorId="2">
      <text>
        <r>
          <rPr>
            <b/>
            <sz val="9"/>
            <color indexed="81"/>
            <rFont val="Segoe UI"/>
            <family val="2"/>
            <charset val="238"/>
          </rPr>
          <t>Autor:</t>
        </r>
        <r>
          <rPr>
            <sz val="9"/>
            <color indexed="81"/>
            <rFont val="Segoe UI"/>
            <family val="2"/>
            <charset val="238"/>
          </rPr>
          <t xml:space="preserve">
OECD</t>
        </r>
      </text>
    </comment>
    <comment ref="BK5" authorId="1">
      <text>
        <r>
          <rPr>
            <b/>
            <sz val="9"/>
            <color indexed="81"/>
            <rFont val="Segoe UI"/>
            <family val="2"/>
            <charset val="238"/>
          </rPr>
          <t>Alina : Angajatorii privati</t>
        </r>
        <r>
          <rPr>
            <sz val="9"/>
            <color indexed="81"/>
            <rFont val="Segoe UI"/>
            <family val="2"/>
            <charset val="238"/>
          </rPr>
          <t xml:space="preserve">
</t>
        </r>
      </text>
    </comment>
    <comment ref="M8" authorId="3">
      <text>
        <r>
          <rPr>
            <b/>
            <sz val="9"/>
            <color indexed="81"/>
            <rFont val="Segoe UI"/>
            <family val="2"/>
            <charset val="238"/>
          </rPr>
          <t>Claudia CF:</t>
        </r>
        <r>
          <rPr>
            <sz val="9"/>
            <color indexed="81"/>
            <rFont val="Segoe UI"/>
            <family val="2"/>
            <charset val="238"/>
          </rPr>
          <t xml:space="preserve">
PFA-ul plateste ca angajatorul</t>
        </r>
      </text>
    </comment>
    <comment ref="AG8" authorId="2">
      <text>
        <r>
          <rPr>
            <b/>
            <sz val="9"/>
            <color indexed="81"/>
            <rFont val="Segoe UI"/>
            <family val="2"/>
            <charset val="238"/>
          </rPr>
          <t>Autor:</t>
        </r>
        <r>
          <rPr>
            <sz val="9"/>
            <color indexed="81"/>
            <rFont val="Segoe UI"/>
            <family val="2"/>
            <charset val="238"/>
          </rPr>
          <t xml:space="preserve">
contributia totala 31,8% daca alege 26,3% la pensii</t>
        </r>
      </text>
    </comment>
    <comment ref="AK8" authorId="4">
      <text>
        <r>
          <rPr>
            <b/>
            <sz val="9"/>
            <color indexed="81"/>
            <rFont val="Segoe UI"/>
            <family val="2"/>
            <charset val="238"/>
          </rPr>
          <t>Iuliana:</t>
        </r>
        <r>
          <rPr>
            <sz val="9"/>
            <color indexed="81"/>
            <rFont val="Segoe UI"/>
            <family val="2"/>
            <charset val="238"/>
          </rPr>
          <t xml:space="preserve">
plus 8,91% contributii sociale angajator PFA . Baza de calcul este profitul realizat din afacere
</t>
        </r>
      </text>
    </comment>
    <comment ref="AO8" authorId="4">
      <text>
        <r>
          <rPr>
            <b/>
            <sz val="9"/>
            <color indexed="81"/>
            <rFont val="Segoe UI"/>
            <family val="2"/>
            <charset val="238"/>
          </rPr>
          <t>Iuliana:</t>
        </r>
        <r>
          <rPr>
            <sz val="9"/>
            <color indexed="81"/>
            <rFont val="Segoe UI"/>
            <family val="2"/>
            <charset val="238"/>
          </rPr>
          <t xml:space="preserve">
Baza de calcul pentru sanatate 62,5% din venitul lunar; pentru pensii si celelalte contributii 52,6% din venitul lunar</t>
        </r>
      </text>
    </comment>
    <comment ref="Q9" authorId="2">
      <text>
        <r>
          <rPr>
            <b/>
            <sz val="9"/>
            <color indexed="81"/>
            <rFont val="Segoe UI"/>
            <family val="2"/>
            <charset val="238"/>
          </rPr>
          <t>Autor:</t>
        </r>
        <r>
          <rPr>
            <sz val="9"/>
            <color indexed="81"/>
            <rFont val="Segoe UI"/>
            <family val="2"/>
            <charset val="238"/>
          </rPr>
          <t xml:space="preserve">
15% Pilon 1, 5% Pilon 2</t>
        </r>
      </text>
    </comment>
    <comment ref="U9" authorId="2">
      <text>
        <r>
          <rPr>
            <b/>
            <sz val="9"/>
            <color indexed="81"/>
            <rFont val="Segoe UI"/>
            <family val="2"/>
            <charset val="238"/>
          </rPr>
          <t xml:space="preserve">Autor:
Plafon baza impozabila de jumatate din venit si maxim </t>
        </r>
        <r>
          <rPr>
            <sz val="9"/>
            <color indexed="81"/>
            <rFont val="Segoe UI"/>
            <family val="2"/>
            <charset val="238"/>
          </rPr>
          <t>48 venituri medii din anul curent</t>
        </r>
      </text>
    </comment>
    <comment ref="AG9" authorId="2">
      <text>
        <r>
          <rPr>
            <b/>
            <sz val="9"/>
            <color indexed="81"/>
            <rFont val="Segoe UI"/>
            <family val="2"/>
            <charset val="238"/>
          </rPr>
          <t>Alina:</t>
        </r>
        <r>
          <rPr>
            <sz val="9"/>
            <color indexed="81"/>
            <rFont val="Segoe UI"/>
            <family val="2"/>
            <charset val="238"/>
          </rPr>
          <t xml:space="preserve">
Sau 26,3% pentru a beneficia de un stagiu complet de cotizare pentru pensie. Cota de 10,5% asigura o treime din pensie</t>
        </r>
      </text>
    </comment>
    <comment ref="BA9" authorId="2">
      <text>
        <r>
          <rPr>
            <b/>
            <sz val="9"/>
            <color indexed="81"/>
            <rFont val="Segoe UI"/>
            <family val="2"/>
            <charset val="238"/>
          </rPr>
          <t>Autor:</t>
        </r>
        <r>
          <rPr>
            <sz val="9"/>
            <color indexed="81"/>
            <rFont val="Segoe UI"/>
            <family val="2"/>
            <charset val="238"/>
          </rPr>
          <t xml:space="preserve">
din care 15% Pilon 1 si 5% Pilon 2</t>
        </r>
      </text>
    </comment>
    <comment ref="CP9" authorId="0">
      <text>
        <r>
          <rPr>
            <b/>
            <sz val="9"/>
            <color indexed="81"/>
            <rFont val="Tahoma"/>
            <family val="2"/>
          </rPr>
          <t>Roxana:</t>
        </r>
        <r>
          <rPr>
            <sz val="9"/>
            <color indexed="81"/>
            <rFont val="Tahoma"/>
            <family val="2"/>
          </rPr>
          <t xml:space="preserve">
General benefits fund (Pensii+Sanatate)</t>
        </r>
      </text>
    </comment>
    <comment ref="U10" authorId="2">
      <text>
        <r>
          <rPr>
            <b/>
            <sz val="9"/>
            <color indexed="81"/>
            <rFont val="Segoe UI"/>
            <family val="2"/>
            <charset val="238"/>
          </rPr>
          <t>Autor:</t>
        </r>
        <r>
          <rPr>
            <sz val="9"/>
            <color indexed="81"/>
            <rFont val="Segoe UI"/>
            <family val="2"/>
            <charset val="238"/>
          </rPr>
          <t xml:space="preserve">
Plafon baza impozabila: jumatate din castigul salarial minim</t>
        </r>
      </text>
    </comment>
    <comment ref="CK10" authorId="2">
      <text>
        <r>
          <rPr>
            <b/>
            <sz val="9"/>
            <color indexed="81"/>
            <rFont val="Segoe UI"/>
            <family val="2"/>
            <charset val="238"/>
          </rPr>
          <t>Autor:</t>
        </r>
        <r>
          <rPr>
            <sz val="9"/>
            <color indexed="81"/>
            <rFont val="Segoe UI"/>
            <family val="2"/>
            <charset val="238"/>
          </rPr>
          <t xml:space="preserve">
5,5% sanatate, 9,65% ingrijire pe termen lung
</t>
        </r>
      </text>
    </comment>
    <comment ref="AC12" authorId="2">
      <text>
        <r>
          <rPr>
            <b/>
            <sz val="9"/>
            <color indexed="81"/>
            <rFont val="Segoe UI"/>
            <family val="2"/>
            <charset val="238"/>
          </rPr>
          <t>Alina : 6,5 Pensie de invaliditate</t>
        </r>
        <r>
          <rPr>
            <sz val="9"/>
            <color indexed="81"/>
            <rFont val="Segoe UI"/>
            <family val="2"/>
            <charset val="238"/>
          </rPr>
          <t xml:space="preserve">
0,4-8,12 pentru accidente de munca</t>
        </r>
      </text>
    </comment>
    <comment ref="AK12" authorId="2">
      <text>
        <r>
          <rPr>
            <b/>
            <sz val="9"/>
            <color indexed="81"/>
            <rFont val="Segoe UI"/>
            <family val="2"/>
            <charset val="238"/>
          </rPr>
          <t>Autor:</t>
        </r>
        <r>
          <rPr>
            <sz val="9"/>
            <color indexed="81"/>
            <rFont val="Segoe UI"/>
            <family val="2"/>
            <charset val="238"/>
          </rPr>
          <t xml:space="preserve">
accidente+indemnizatie parentala</t>
        </r>
      </text>
    </comment>
    <comment ref="AO12" authorId="2">
      <text>
        <r>
          <rPr>
            <b/>
            <sz val="9"/>
            <color indexed="81"/>
            <rFont val="Segoe UI"/>
            <family val="2"/>
            <charset val="238"/>
          </rPr>
          <t>Autor:</t>
        </r>
        <r>
          <rPr>
            <sz val="9"/>
            <color indexed="81"/>
            <rFont val="Segoe UI"/>
            <family val="2"/>
            <charset val="238"/>
          </rPr>
          <t xml:space="preserve">
6% invaliditate, 4% boala. 4,75% fond solidaritate
</t>
        </r>
      </text>
    </comment>
    <comment ref="BA12" authorId="2">
      <text>
        <r>
          <rPr>
            <b/>
            <sz val="9"/>
            <color indexed="81"/>
            <rFont val="Segoe UI"/>
            <family val="2"/>
            <charset val="238"/>
          </rPr>
          <t>Autor:</t>
        </r>
        <r>
          <rPr>
            <sz val="9"/>
            <color indexed="81"/>
            <rFont val="Segoe UI"/>
            <family val="2"/>
            <charset val="238"/>
          </rPr>
          <t xml:space="preserve">
accidente </t>
        </r>
      </text>
    </comment>
    <comment ref="BE12" authorId="2">
      <text>
        <r>
          <rPr>
            <b/>
            <sz val="9"/>
            <color indexed="81"/>
            <rFont val="Segoe UI"/>
            <family val="2"/>
            <charset val="238"/>
          </rPr>
          <t>Autor:</t>
        </r>
        <r>
          <rPr>
            <sz val="9"/>
            <color indexed="81"/>
            <rFont val="Segoe UI"/>
            <family val="2"/>
            <charset val="238"/>
          </rPr>
          <t xml:space="preserve">
contributie pentru sustinerea finantelor publice</t>
        </r>
      </text>
    </comment>
    <comment ref="CK12" authorId="2">
      <text>
        <r>
          <rPr>
            <b/>
            <sz val="9"/>
            <color indexed="81"/>
            <rFont val="Segoe UI"/>
            <family val="2"/>
            <charset val="238"/>
          </rPr>
          <t>Autor:</t>
        </r>
        <r>
          <rPr>
            <sz val="9"/>
            <color indexed="81"/>
            <rFont val="Segoe UI"/>
            <family val="2"/>
            <charset val="238"/>
          </rPr>
          <t xml:space="preserve">
pentru supravietuitor</t>
        </r>
      </text>
    </comment>
    <comment ref="DI12" authorId="2">
      <text>
        <r>
          <rPr>
            <b/>
            <sz val="9"/>
            <color indexed="81"/>
            <rFont val="Segoe UI"/>
            <family val="2"/>
            <charset val="238"/>
          </rPr>
          <t>Alina :</t>
        </r>
        <r>
          <rPr>
            <sz val="9"/>
            <color indexed="81"/>
            <rFont val="Segoe UI"/>
            <family val="2"/>
            <charset val="238"/>
          </rPr>
          <t xml:space="preserve">
contribution for survivor's pension (1.17 %), the general wage tax (10.15 %), accidente de munca (0,3%) si concediu de maternitate (2,6%)</t>
        </r>
      </text>
    </comment>
    <comment ref="CS13" authorId="2">
      <text>
        <r>
          <rPr>
            <b/>
            <sz val="9"/>
            <color indexed="81"/>
            <rFont val="Segoe UI"/>
            <family val="2"/>
            <charset val="238"/>
          </rPr>
          <t>Autor:</t>
        </r>
        <r>
          <rPr>
            <sz val="9"/>
            <color indexed="81"/>
            <rFont val="Segoe UI"/>
            <family val="2"/>
            <charset val="238"/>
          </rPr>
          <t xml:space="preserve">
if you gain more than annual minimum wage </t>
        </r>
      </text>
    </comment>
    <comment ref="I14" authorId="2">
      <text>
        <r>
          <rPr>
            <b/>
            <sz val="9"/>
            <color indexed="81"/>
            <rFont val="Segoe UI"/>
            <family val="2"/>
            <charset val="238"/>
          </rPr>
          <t>Autor:</t>
        </r>
        <r>
          <rPr>
            <sz val="9"/>
            <color indexed="81"/>
            <rFont val="Segoe UI"/>
            <family val="2"/>
            <charset val="238"/>
          </rPr>
          <t xml:space="preserve">
Ceiling: four times the average annual salary</t>
        </r>
      </text>
    </comment>
    <comment ref="U14" authorId="1">
      <text>
        <r>
          <rPr>
            <b/>
            <sz val="9"/>
            <color indexed="81"/>
            <rFont val="Segoe UI"/>
            <family val="2"/>
            <charset val="238"/>
          </rPr>
          <t>Alina : Baza impozabila maxima</t>
        </r>
        <r>
          <rPr>
            <sz val="9"/>
            <color indexed="81"/>
            <rFont val="Segoe UI"/>
            <family val="2"/>
            <charset val="238"/>
          </rPr>
          <t xml:space="preserve">
</t>
        </r>
      </text>
    </comment>
  </commentList>
</comments>
</file>

<file path=xl/comments3.xml><?xml version="1.0" encoding="utf-8"?>
<comments xmlns="http://schemas.openxmlformats.org/spreadsheetml/2006/main">
  <authors>
    <author>Autor</author>
  </authors>
  <commentList>
    <comment ref="I5" authorId="0">
      <text>
        <r>
          <rPr>
            <b/>
            <sz val="9"/>
            <color indexed="81"/>
            <rFont val="Segoe UI"/>
            <family val="2"/>
            <charset val="238"/>
          </rPr>
          <t>Autor:</t>
        </r>
        <r>
          <rPr>
            <sz val="9"/>
            <color indexed="81"/>
            <rFont val="Segoe UI"/>
            <family val="2"/>
            <charset val="238"/>
          </rPr>
          <t xml:space="preserve">
Ar fi pe locul 15 daca este platita integral contributia de 31,8</t>
        </r>
      </text>
    </comment>
    <comment ref="I7" authorId="0">
      <text>
        <r>
          <rPr>
            <b/>
            <sz val="9"/>
            <color indexed="81"/>
            <rFont val="Segoe UI"/>
            <family val="2"/>
            <charset val="238"/>
          </rPr>
          <t>Autor:</t>
        </r>
        <r>
          <rPr>
            <sz val="9"/>
            <color indexed="81"/>
            <rFont val="Segoe UI"/>
            <family val="2"/>
            <charset val="238"/>
          </rPr>
          <t xml:space="preserve">
contributia totala 31,8% daca alege 26,3% la pensii</t>
        </r>
      </text>
    </comment>
    <comment ref="R7" authorId="0">
      <text>
        <r>
          <rPr>
            <b/>
            <sz val="9"/>
            <color indexed="81"/>
            <rFont val="Segoe UI"/>
            <family val="2"/>
            <charset val="238"/>
          </rPr>
          <t>Autor:</t>
        </r>
        <r>
          <rPr>
            <sz val="9"/>
            <color indexed="81"/>
            <rFont val="Segoe UI"/>
            <family val="2"/>
            <charset val="238"/>
          </rPr>
          <t xml:space="preserve">
PFA-ul plateste ca angajatorul</t>
        </r>
      </text>
    </comment>
    <comment ref="E8" authorId="0">
      <text>
        <r>
          <rPr>
            <b/>
            <sz val="9"/>
            <color indexed="81"/>
            <rFont val="Segoe UI"/>
            <family val="2"/>
            <charset val="238"/>
          </rPr>
          <t xml:space="preserve">Autor:
Plafon baza impozabila de jumatate din venit si maxim </t>
        </r>
        <r>
          <rPr>
            <sz val="9"/>
            <color indexed="81"/>
            <rFont val="Segoe UI"/>
            <family val="2"/>
            <charset val="238"/>
          </rPr>
          <t>48 venituri medii din anul curent</t>
        </r>
      </text>
    </comment>
    <comment ref="I8" authorId="0">
      <text>
        <r>
          <rPr>
            <b/>
            <sz val="9"/>
            <color indexed="81"/>
            <rFont val="Segoe UI"/>
            <family val="2"/>
            <charset val="238"/>
          </rPr>
          <t>Alina:</t>
        </r>
        <r>
          <rPr>
            <sz val="9"/>
            <color indexed="81"/>
            <rFont val="Segoe UI"/>
            <family val="2"/>
            <charset val="238"/>
          </rPr>
          <t xml:space="preserve">
Sau 26,3% pentru a beneficia de un stagiu complet de cotizare pentru pensie. Cota de 10,5% asigura o treime din pensie</t>
        </r>
      </text>
    </comment>
    <comment ref="Z8" authorId="0">
      <text>
        <r>
          <rPr>
            <b/>
            <sz val="9"/>
            <color indexed="81"/>
            <rFont val="Segoe UI"/>
            <family val="2"/>
            <charset val="238"/>
          </rPr>
          <t>Autor:</t>
        </r>
        <r>
          <rPr>
            <sz val="9"/>
            <color indexed="81"/>
            <rFont val="Segoe UI"/>
            <family val="2"/>
            <charset val="238"/>
          </rPr>
          <t xml:space="preserve">
din care 15% Pilon 1 si 5% Pilon 2</t>
        </r>
      </text>
    </comment>
    <comment ref="AA8" authorId="0">
      <text>
        <r>
          <rPr>
            <b/>
            <sz val="9"/>
            <color indexed="81"/>
            <rFont val="Segoe UI"/>
            <family val="2"/>
            <charset val="238"/>
          </rPr>
          <t>Autor:</t>
        </r>
        <r>
          <rPr>
            <sz val="9"/>
            <color indexed="81"/>
            <rFont val="Segoe UI"/>
            <family val="2"/>
            <charset val="238"/>
          </rPr>
          <t xml:space="preserve">
15% Pilon 1, 5% Pilon 2</t>
        </r>
      </text>
    </comment>
    <comment ref="E9" authorId="0">
      <text>
        <r>
          <rPr>
            <b/>
            <sz val="9"/>
            <color indexed="81"/>
            <rFont val="Segoe UI"/>
            <family val="2"/>
            <charset val="238"/>
          </rPr>
          <t>Autor:</t>
        </r>
        <r>
          <rPr>
            <sz val="9"/>
            <color indexed="81"/>
            <rFont val="Segoe UI"/>
            <family val="2"/>
            <charset val="238"/>
          </rPr>
          <t xml:space="preserve">
Plafon baza impozabila: jumatate din castigul salarial minim</t>
        </r>
      </text>
    </comment>
    <comment ref="AB9" authorId="0">
      <text>
        <r>
          <rPr>
            <b/>
            <sz val="9"/>
            <color indexed="81"/>
            <rFont val="Segoe UI"/>
            <family val="2"/>
            <charset val="238"/>
          </rPr>
          <t>Autor:</t>
        </r>
        <r>
          <rPr>
            <sz val="9"/>
            <color indexed="81"/>
            <rFont val="Segoe UI"/>
            <family val="2"/>
            <charset val="238"/>
          </rPr>
          <t xml:space="preserve">
5,5% sanatate, 9,65% ingrijire pe termen lung
</t>
        </r>
      </text>
    </comment>
    <comment ref="G11" authorId="0">
      <text>
        <r>
          <rPr>
            <b/>
            <sz val="9"/>
            <color indexed="81"/>
            <rFont val="Segoe UI"/>
            <family val="2"/>
            <charset val="238"/>
          </rPr>
          <t>Alina : 6,5 Pensie de invaliditate</t>
        </r>
        <r>
          <rPr>
            <sz val="9"/>
            <color indexed="81"/>
            <rFont val="Segoe UI"/>
            <family val="2"/>
            <charset val="238"/>
          </rPr>
          <t xml:space="preserve">
0,4-8,12 pentru accidente de munca</t>
        </r>
      </text>
    </comment>
    <comment ref="L11" authorId="0">
      <text>
        <r>
          <rPr>
            <b/>
            <sz val="9"/>
            <color indexed="81"/>
            <rFont val="Segoe UI"/>
            <family val="2"/>
            <charset val="238"/>
          </rPr>
          <t>Alina :</t>
        </r>
        <r>
          <rPr>
            <sz val="9"/>
            <color indexed="81"/>
            <rFont val="Segoe UI"/>
            <family val="2"/>
            <charset val="238"/>
          </rPr>
          <t xml:space="preserve">
contribution for survivor's pension (1.17 %), the general wage tax (10.15 %), accidente de munca (0,3%) si concediu de maternitate (2,6%)</t>
        </r>
      </text>
    </comment>
    <comment ref="Y11" authorId="0">
      <text>
        <r>
          <rPr>
            <b/>
            <sz val="9"/>
            <color indexed="81"/>
            <rFont val="Segoe UI"/>
            <family val="2"/>
            <charset val="238"/>
          </rPr>
          <t>Autor:</t>
        </r>
        <r>
          <rPr>
            <sz val="9"/>
            <color indexed="81"/>
            <rFont val="Segoe UI"/>
            <family val="2"/>
            <charset val="238"/>
          </rPr>
          <t xml:space="preserve">
contributie pentru sustinerea finantelor publice</t>
        </r>
      </text>
    </comment>
    <comment ref="Z11" authorId="0">
      <text>
        <r>
          <rPr>
            <b/>
            <sz val="9"/>
            <color indexed="81"/>
            <rFont val="Segoe UI"/>
            <family val="2"/>
            <charset val="238"/>
          </rPr>
          <t>Autor:</t>
        </r>
        <r>
          <rPr>
            <sz val="9"/>
            <color indexed="81"/>
            <rFont val="Segoe UI"/>
            <family val="2"/>
            <charset val="238"/>
          </rPr>
          <t xml:space="preserve">
accidente </t>
        </r>
      </text>
    </comment>
    <comment ref="AB11" authorId="0">
      <text>
        <r>
          <rPr>
            <b/>
            <sz val="9"/>
            <color indexed="81"/>
            <rFont val="Segoe UI"/>
            <family val="2"/>
            <charset val="238"/>
          </rPr>
          <t>Autor:</t>
        </r>
        <r>
          <rPr>
            <sz val="9"/>
            <color indexed="81"/>
            <rFont val="Segoe UI"/>
            <family val="2"/>
            <charset val="238"/>
          </rPr>
          <t xml:space="preserve">
pentru supravietuitor</t>
        </r>
      </text>
    </comment>
    <comment ref="AC11" authorId="0">
      <text>
        <r>
          <rPr>
            <b/>
            <sz val="9"/>
            <color indexed="81"/>
            <rFont val="Segoe UI"/>
            <family val="2"/>
            <charset val="238"/>
          </rPr>
          <t>Autor:</t>
        </r>
        <r>
          <rPr>
            <sz val="9"/>
            <color indexed="81"/>
            <rFont val="Segoe UI"/>
            <family val="2"/>
            <charset val="238"/>
          </rPr>
          <t xml:space="preserve">
accidente+indemnizatie parentala</t>
        </r>
      </text>
    </comment>
    <comment ref="AD11" authorId="0">
      <text>
        <r>
          <rPr>
            <b/>
            <sz val="9"/>
            <color indexed="81"/>
            <rFont val="Segoe UI"/>
            <family val="2"/>
            <charset val="238"/>
          </rPr>
          <t>Autor:</t>
        </r>
        <r>
          <rPr>
            <sz val="9"/>
            <color indexed="81"/>
            <rFont val="Segoe UI"/>
            <family val="2"/>
            <charset val="238"/>
          </rPr>
          <t xml:space="preserve">
6% invaliditate, 4% boala. 4,75% fond solidaritate
</t>
        </r>
      </text>
    </comment>
    <comment ref="T12" authorId="0">
      <text>
        <r>
          <rPr>
            <b/>
            <sz val="9"/>
            <color indexed="81"/>
            <rFont val="Segoe UI"/>
            <family val="2"/>
            <charset val="238"/>
          </rPr>
          <t>Autor:</t>
        </r>
        <r>
          <rPr>
            <sz val="9"/>
            <color indexed="81"/>
            <rFont val="Segoe UI"/>
            <family val="2"/>
            <charset val="238"/>
          </rPr>
          <t xml:space="preserve">
if you gain more than annual minimum wage </t>
        </r>
      </text>
    </comment>
    <comment ref="O13" authorId="0">
      <text>
        <r>
          <rPr>
            <b/>
            <sz val="9"/>
            <color indexed="81"/>
            <rFont val="Segoe UI"/>
            <family val="2"/>
            <charset val="238"/>
          </rPr>
          <t>Autor:</t>
        </r>
        <r>
          <rPr>
            <sz val="9"/>
            <color indexed="81"/>
            <rFont val="Segoe UI"/>
            <family val="2"/>
            <charset val="238"/>
          </rPr>
          <t xml:space="preserve">
Ceiling: four times the average annual salary</t>
        </r>
      </text>
    </comment>
    <comment ref="P17" authorId="0">
      <text>
        <r>
          <rPr>
            <b/>
            <sz val="9"/>
            <color indexed="81"/>
            <rFont val="Segoe UI"/>
            <family val="2"/>
            <charset val="238"/>
          </rPr>
          <t>Autor:</t>
        </r>
        <r>
          <rPr>
            <sz val="9"/>
            <color indexed="81"/>
            <rFont val="Segoe UI"/>
            <family val="2"/>
            <charset val="238"/>
          </rPr>
          <t xml:space="preserve">
minim 8%</t>
        </r>
      </text>
    </comment>
    <comment ref="Q17" authorId="0">
      <text>
        <r>
          <rPr>
            <b/>
            <sz val="9"/>
            <color indexed="81"/>
            <rFont val="Segoe UI"/>
            <family val="2"/>
            <charset val="238"/>
          </rPr>
          <t>Autor:</t>
        </r>
        <r>
          <rPr>
            <sz val="9"/>
            <color indexed="81"/>
            <rFont val="Segoe UI"/>
            <family val="2"/>
            <charset val="238"/>
          </rPr>
          <t xml:space="preserve">
EUR 8.004 neimpozitabili 
intre 14 si 45% maxim</t>
        </r>
      </text>
    </comment>
    <comment ref="T17" authorId="0">
      <text>
        <r>
          <rPr>
            <b/>
            <sz val="9"/>
            <color indexed="81"/>
            <rFont val="Segoe UI"/>
            <family val="2"/>
            <charset val="238"/>
          </rPr>
          <t>Autor:</t>
        </r>
        <r>
          <rPr>
            <sz val="9"/>
            <color indexed="81"/>
            <rFont val="Segoe UI"/>
            <family val="2"/>
            <charset val="238"/>
          </rPr>
          <t xml:space="preserve">
Din 2016 ratele s-au modificat 19,24,30,37 si 45% </t>
        </r>
      </text>
    </comment>
    <comment ref="V17" authorId="0">
      <text>
        <r>
          <rPr>
            <b/>
            <sz val="9"/>
            <color indexed="81"/>
            <rFont val="Segoe UI"/>
            <family val="2"/>
            <charset val="238"/>
          </rPr>
          <t>Autor:</t>
        </r>
        <r>
          <rPr>
            <sz val="9"/>
            <color indexed="81"/>
            <rFont val="Segoe UI"/>
            <family val="2"/>
            <charset val="238"/>
          </rPr>
          <t xml:space="preserve">
The percentage that you pay depends on the amount of your income. The first part of your income, up to a certain amount, is taxed at 20%. This is known as the standard rate of tax and the amount that it applies to is known as the standard rate tax band. The remainder of your income is taxed at the higher rate of tax, 40% in 2016.</t>
        </r>
      </text>
    </comment>
    <comment ref="AB17" authorId="0">
      <text>
        <r>
          <rPr>
            <b/>
            <sz val="9"/>
            <color indexed="81"/>
            <rFont val="Segoe UI"/>
            <family val="2"/>
            <charset val="238"/>
          </rPr>
          <t>Autor:</t>
        </r>
        <r>
          <rPr>
            <sz val="9"/>
            <color indexed="81"/>
            <rFont val="Segoe UI"/>
            <family val="2"/>
            <charset val="238"/>
          </rPr>
          <t xml:space="preserve">
OECD</t>
        </r>
      </text>
    </comment>
  </commentList>
</comments>
</file>

<file path=xl/sharedStrings.xml><?xml version="1.0" encoding="utf-8"?>
<sst xmlns="http://schemas.openxmlformats.org/spreadsheetml/2006/main" count="1431" uniqueCount="255">
  <si>
    <t>Analiză comparativă a contribuțiilor de asigurări sociale la nivelul țărilor din UE 28 - anul 2016</t>
  </si>
  <si>
    <t>Bulgaria</t>
  </si>
  <si>
    <t>Republica Cehă</t>
  </si>
  <si>
    <t>Estonia</t>
  </si>
  <si>
    <t>Letonia</t>
  </si>
  <si>
    <t>Lituania</t>
  </si>
  <si>
    <t>Ungaria</t>
  </si>
  <si>
    <t>Polonia</t>
  </si>
  <si>
    <t>România</t>
  </si>
  <si>
    <t>Slovenia</t>
  </si>
  <si>
    <t>Slovacia</t>
  </si>
  <si>
    <t>Austria</t>
  </si>
  <si>
    <t>Belgia</t>
  </si>
  <si>
    <t>Croatia</t>
  </si>
  <si>
    <t>Cipru</t>
  </si>
  <si>
    <t>Danemarca</t>
  </si>
  <si>
    <t>Finlanda</t>
  </si>
  <si>
    <t>Franta</t>
  </si>
  <si>
    <t>Germania</t>
  </si>
  <si>
    <t>Grecia</t>
  </si>
  <si>
    <t xml:space="preserve">Irlanda </t>
  </si>
  <si>
    <t>Italia</t>
  </si>
  <si>
    <t>Olanda</t>
  </si>
  <si>
    <t>Portugalia</t>
  </si>
  <si>
    <t xml:space="preserve">Spania </t>
  </si>
  <si>
    <t>Luxemburg</t>
  </si>
  <si>
    <t>Malta</t>
  </si>
  <si>
    <t>Suedia</t>
  </si>
  <si>
    <t>DKK 1.136/an</t>
  </si>
  <si>
    <t>14,2% de la 0.00  EUR la 38,040.00  EUR; 12,45%  de la 38,040.00  EUR  la 114,120.00  EUR; 3,45%  de la 114,120.00  EUR</t>
  </si>
  <si>
    <t>9,49% de la 0 Eur la 46,031.00 Eur; 10,49% de la 46,032.00 Eur la 100,123.00 Eur; 10,49% de la 100,124.00 Eur</t>
  </si>
  <si>
    <t xml:space="preserve"> 0% pana la £7,956.00;  12% de la £7,956.00 la £41,865.00;  2% de la £41,865.00</t>
  </si>
  <si>
    <r>
      <t>Se aplica la salariul saptamanal: 16,63% de la</t>
    </r>
    <r>
      <rPr>
        <b/>
        <strike/>
        <sz val="7"/>
        <rFont val="Lucida Sans"/>
        <family val="2"/>
      </rPr>
      <t xml:space="preserve"> </t>
    </r>
    <r>
      <rPr>
        <b/>
        <sz val="7"/>
        <rFont val="Lucida Sans"/>
        <family val="2"/>
      </rPr>
      <t>0,1 la 166.26 Eur; 10% de la 166.27 Eur</t>
    </r>
  </si>
  <si>
    <t>Pensii (%)</t>
  </si>
  <si>
    <t>-</t>
  </si>
  <si>
    <t>9.19 % de la 0 Eur la 46,031.00 Eur; 10.19% de la 46,032.00 Eur la 100,123.00 Eur; 10.19% de la 100,124.00 Eur</t>
  </si>
  <si>
    <t>Sănătate (%)</t>
  </si>
  <si>
    <t>Șomaj (%)</t>
  </si>
  <si>
    <t>Altele (%)</t>
  </si>
  <si>
    <t>Plafon anual (monedă națională)</t>
  </si>
  <si>
    <t>Plafon lunar: 1.227 EUR</t>
  </si>
  <si>
    <t>48 * salariul lunar mediu național</t>
  </si>
  <si>
    <t>Nu există plafoane</t>
  </si>
  <si>
    <t>46.400 EUR</t>
  </si>
  <si>
    <t>9454 EUR</t>
  </si>
  <si>
    <t>30 * salariul lunar mediu național</t>
  </si>
  <si>
    <t>CAS plafonat la 5 salarii medii brute</t>
  </si>
  <si>
    <t>4,025 EUR</t>
  </si>
  <si>
    <t>Plafon lunar: 4.650 EUR</t>
  </si>
  <si>
    <t>60.161,85  EUR</t>
  </si>
  <si>
    <t>47.646,00  kunas</t>
  </si>
  <si>
    <t>1,046 EUR/saptamana</t>
  </si>
  <si>
    <t>41,299.87 EUR</t>
  </si>
  <si>
    <t>Somaj: 152.160,00  EUR</t>
  </si>
  <si>
    <t>Pensii si somaj:  62.400,00  EUR pentru landurile noi si 72.600,00  EUR pentru landurile vechi; Sanatate: 49.500,00  EUR</t>
  </si>
  <si>
    <t>Plafon lunar: 5.860,8 EUR</t>
  </si>
  <si>
    <t>Plafon: 352 EUR/saptamana</t>
  </si>
  <si>
    <t>33,715 EUR</t>
  </si>
  <si>
    <t>EUR 115,261.56</t>
  </si>
  <si>
    <t>41.21 EUR/saptamana; 21,431 EUR/an</t>
  </si>
  <si>
    <t>459,183 kronor</t>
  </si>
  <si>
    <t>Salariu lunar mediu brut în monedă națională (2015)</t>
  </si>
  <si>
    <t>Plafon ca număr de salarii medii 2015</t>
  </si>
  <si>
    <t>Pensii si somaj:  1,7 pentru landurile noi si 1,9 pentru landurile vechi; Sanatate si altele: 1,3</t>
  </si>
  <si>
    <t>Angajat: 0,4</t>
  </si>
  <si>
    <t>Angajat - Pensii si somaj:  3,5; Angajat - Altele: 3,3</t>
  </si>
  <si>
    <t>Salariu mediu brut</t>
  </si>
  <si>
    <t>United Nations Economic Commission for Europe Statistical Database</t>
  </si>
  <si>
    <t>Cote țări</t>
  </si>
  <si>
    <t>http://ec.europa.eu/taxation_customs/tedb/taxSearch.html</t>
  </si>
  <si>
    <t>Taxation Trends report</t>
  </si>
  <si>
    <t>https://www.ssa.gov/policy/index.html</t>
  </si>
  <si>
    <t>PFA</t>
  </si>
  <si>
    <t>Angajat</t>
  </si>
  <si>
    <t xml:space="preserve"> Contribuții totale  (%)</t>
  </si>
  <si>
    <t>3,5 (facultativ)</t>
  </si>
  <si>
    <t>420 BGN/ luna</t>
  </si>
  <si>
    <t>2600 BGN/luna</t>
  </si>
  <si>
    <t>Baza impozabila minima</t>
  </si>
  <si>
    <t>2,3 (facultativ)</t>
  </si>
  <si>
    <t xml:space="preserve">ce depaseste 48600EUR/an ca  taxa de solidaritate </t>
  </si>
  <si>
    <t xml:space="preserve"> 4.440 EUR/an</t>
  </si>
  <si>
    <t>48600EUR/an</t>
  </si>
  <si>
    <t>pensii: 50% din venit, sanatate 50% castigul salarial minim</t>
  </si>
  <si>
    <t>Baza minima: se aplica la ce depaseste 2.248 pln/luna</t>
  </si>
  <si>
    <t>118770 pln/luna</t>
  </si>
  <si>
    <t>112,5% din salariul minim pe econimie</t>
  </si>
  <si>
    <t xml:space="preserve">Pt CAS: minim 35% din câștigul salarial mediu brut </t>
  </si>
  <si>
    <t>pt cas: 5 ori salariul mediul brut</t>
  </si>
  <si>
    <t xml:space="preserve">pt cas: 5 </t>
  </si>
  <si>
    <t>optional 2% din venit declarat</t>
  </si>
  <si>
    <t xml:space="preserve">accidente 8,9 EUR/lunar </t>
  </si>
  <si>
    <t>Baza de calcul mimima pentru pensii 706,56 EUR/luna;  pentru sanatate 724,02EUR/luna</t>
  </si>
  <si>
    <t>Baza de calcul plafonata la 65100 EUR/an</t>
  </si>
  <si>
    <t xml:space="preserve"> 2,780 HRK</t>
  </si>
  <si>
    <t xml:space="preserve">Pentru contributia de pensii la angajat baza de calcul este plafonata la 47658 HRK/luna   pentru Pilonul 1 si 2 de pensii sau  571,896 HRK/an pentru Pilonul 1 </t>
  </si>
  <si>
    <t>pentru castiguri intre: 1.501-2.500 EUR/luna 2,5% (min 10EUR); 2.501-3.500 EUR 3%; peste 3.501 EUR 3,5%</t>
  </si>
  <si>
    <t>Baza de calcul mimima pentru pensii intre 261,57 si 775,99 EUR/saptamana in functie de ocupatie</t>
  </si>
  <si>
    <t>Baza de calcul plafonata la 1046 EUR/saptamana sau 4533 EUR/luna</t>
  </si>
  <si>
    <t>pana la 3240 kroner/an</t>
  </si>
  <si>
    <t>8%/luna</t>
  </si>
  <si>
    <t xml:space="preserve">45,8% sub 37.032; 28,8% intre 37.032 si 148.128; 20,6% intre 148.128 si 185.160; 19,9% peste 185.160 </t>
  </si>
  <si>
    <t>14 (privata)</t>
  </si>
  <si>
    <t>66561,6/an (pensii)</t>
  </si>
  <si>
    <t>5000/saptamana</t>
  </si>
  <si>
    <t>22,65% intre 15.548 si 46.123€; 23,65% intre 46.123 si 76.872€</t>
  </si>
  <si>
    <t>plafon sanatate 52763 EUR/an</t>
  </si>
  <si>
    <t xml:space="preserve"> pensii 33589 EUR/an </t>
  </si>
  <si>
    <t xml:space="preserve">minim 1,5*IAS =628,83 </t>
  </si>
  <si>
    <t xml:space="preserve"> maxim 12*IAS (social benefit index) = 5.030,64 EUR</t>
  </si>
  <si>
    <t xml:space="preserve"> 9% de la £7.956; 2% de la £41.865</t>
  </si>
  <si>
    <t>7956/an</t>
  </si>
  <si>
    <t xml:space="preserve">Minim 23.076 EUR </t>
  </si>
  <si>
    <t>910/an</t>
  </si>
  <si>
    <r>
      <rPr>
        <b/>
        <sz val="7"/>
        <rFont val="Lucida Sans"/>
        <family val="2"/>
      </rPr>
      <t>22,65%</t>
    </r>
    <r>
      <rPr>
        <b/>
        <sz val="8"/>
        <rFont val="Lucida Sans"/>
        <family val="2"/>
      </rPr>
      <t xml:space="preserve"> </t>
    </r>
    <r>
      <rPr>
        <b/>
        <sz val="7"/>
        <rFont val="Lucida Sans "/>
        <charset val="238"/>
      </rPr>
      <t>intre 15.548 si 46.123€; 23,65% intre 46.123 si 76.872€</t>
    </r>
  </si>
  <si>
    <r>
      <t>355</t>
    </r>
    <r>
      <rPr>
        <sz val="8"/>
        <rFont val="Calibri"/>
        <family val="2"/>
        <charset val="238"/>
      </rPr>
      <t>€</t>
    </r>
    <r>
      <rPr>
        <sz val="8"/>
        <rFont val="Calibri"/>
        <family val="2"/>
        <scheme val="minor"/>
      </rPr>
      <t>/luna</t>
    </r>
  </si>
  <si>
    <r>
      <t>Sub 12.871</t>
    </r>
    <r>
      <rPr>
        <sz val="8"/>
        <rFont val="Calibri"/>
        <family val="2"/>
        <charset val="238"/>
      </rPr>
      <t>€/an</t>
    </r>
    <r>
      <rPr>
        <sz val="8"/>
        <rFont val="Calibri"/>
        <family val="2"/>
      </rPr>
      <t xml:space="preserve"> se platesc contributii in suma fixa de</t>
    </r>
    <r>
      <rPr>
        <sz val="8"/>
        <rFont val="Calibri"/>
        <family val="2"/>
        <scheme val="minor"/>
      </rPr>
      <t xml:space="preserve"> 707,87 euro/trimestru</t>
    </r>
  </si>
  <si>
    <r>
      <t>10612</t>
    </r>
    <r>
      <rPr>
        <sz val="8"/>
        <rFont val="Calibri"/>
        <family val="2"/>
        <charset val="238"/>
      </rPr>
      <t>€</t>
    </r>
    <r>
      <rPr>
        <sz val="8"/>
        <rFont val="Calibri"/>
        <family val="2"/>
        <scheme val="minor"/>
      </rPr>
      <t>/an</t>
    </r>
  </si>
  <si>
    <r>
      <t>70200</t>
    </r>
    <r>
      <rPr>
        <sz val="8"/>
        <rFont val="Calibri"/>
        <family val="2"/>
        <charset val="238"/>
      </rPr>
      <t>€</t>
    </r>
    <r>
      <rPr>
        <sz val="8"/>
        <rFont val="Calibri"/>
        <family val="2"/>
      </rPr>
      <t>/an</t>
    </r>
  </si>
  <si>
    <r>
      <t>81903</t>
    </r>
    <r>
      <rPr>
        <sz val="8"/>
        <rFont val="Calibri"/>
        <family val="2"/>
        <charset val="238"/>
      </rPr>
      <t>€</t>
    </r>
    <r>
      <rPr>
        <sz val="8"/>
        <rFont val="Calibri"/>
        <family val="2"/>
      </rPr>
      <t>/an</t>
    </r>
  </si>
  <si>
    <r>
      <t>76872</t>
    </r>
    <r>
      <rPr>
        <sz val="8"/>
        <rFont val="Calibri"/>
        <family val="2"/>
        <charset val="238"/>
      </rPr>
      <t>€</t>
    </r>
    <r>
      <rPr>
        <sz val="8"/>
        <rFont val="Calibri"/>
        <family val="2"/>
      </rPr>
      <t>/an</t>
    </r>
  </si>
  <si>
    <r>
      <t xml:space="preserve"> 43272</t>
    </r>
    <r>
      <rPr>
        <sz val="8"/>
        <rFont val="Calibri"/>
        <family val="2"/>
        <charset val="238"/>
      </rPr>
      <t>€</t>
    </r>
    <r>
      <rPr>
        <sz val="8"/>
        <rFont val="Calibri"/>
        <family val="2"/>
        <scheme val="minor"/>
      </rPr>
      <t>/an</t>
    </r>
  </si>
  <si>
    <t>11.05 % de la 0.00  EUR la 38,040.00  EUR; 9.30 %  de la 38,040.00  EUR  la 114,120.00  EUR; 0.30 %  de la 114,120.00  EUR</t>
  </si>
  <si>
    <t>Angajator</t>
  </si>
  <si>
    <t>Plafon lunar: 1,227 EUR</t>
  </si>
  <si>
    <t>0.28 % - 5.04 %</t>
  </si>
  <si>
    <t>Angajat+Angajator</t>
  </si>
  <si>
    <t>CAS plafonat la nivelul produsului dintre numărul angajaților asigurati si valoarea a de cinci ori câștigul salarial mediu brut lunar</t>
  </si>
  <si>
    <t>Plafon lunar: 4,025 EUR</t>
  </si>
  <si>
    <t>Plafon lunar: 4,650.00  EUR</t>
  </si>
  <si>
    <t>47.646,00 kunas</t>
  </si>
  <si>
    <t>DKK 8000-10000/an</t>
  </si>
  <si>
    <t>DKK 2.272/an</t>
  </si>
  <si>
    <t>DKK 6000-8000/an</t>
  </si>
  <si>
    <t>20.88% pentru angajatorii privati; 20.11% pentru administratia centrala; 17.2% pentru administratiile locale</t>
  </si>
  <si>
    <t>18% pentru angajatorii privati; 22.99% pentru administratia centrala; 20.08% pentru administratiile locale</t>
  </si>
  <si>
    <t>0.8 % pana la 2,025,000 Euro si 3.15 % din ceea ce depaseste aceasta suma</t>
  </si>
  <si>
    <t>40.94% de la 0.00  EUR la 38,040.00  EUR; 40.04%  de la 38,040.00  EUR  la 114,120.00  EUR; 28.24%  de la 114,120.00  EUR</t>
  </si>
  <si>
    <t>16.15% de la 0.00  EUR la 38,040.00  EUR; 15.25%  de la 38,040.00  EUR la 114,120.00  EUR; 1.80%  de la 114,120.00  EUR</t>
  </si>
  <si>
    <t>Pensii si somaj:  62.400,00  EUR pentru landurile noi si 72.600,00  EUR pentru landurile vechi; Sanatate si altele: 49.500,00  EUR</t>
  </si>
  <si>
    <t>Plafon lunar: 5,546.80 EUR</t>
  </si>
  <si>
    <t>8.5% pana la 356Eur /saptamana; 10,75%  de la 356Eur /saptamana</t>
  </si>
  <si>
    <t>Pensii si somaj:  100,123.00  EUR; Altele: 96,149.00  EUR</t>
  </si>
  <si>
    <t>52,763 EUR</t>
  </si>
  <si>
    <t xml:space="preserve"> 0% pana la £7,956.00;  13.8% de la £7,956.00</t>
  </si>
  <si>
    <t>1,1 si 0.51% - 3.04%</t>
  </si>
  <si>
    <t>Se aplica la salariul saptamanal: 16,63% de la 0,1 la 166.26 Eur; 10% de la 166.27 Eur la 418.25 Eur; 41,83% de la 418.26 Eur</t>
  </si>
  <si>
    <t>41.21 EUR/saptamana</t>
  </si>
  <si>
    <t>?</t>
  </si>
  <si>
    <t>22% intre 12.871 si 55.577 EUR; 14,16% intre 55.577 si 81.903 EUR</t>
  </si>
  <si>
    <t>Impozit pe venit</t>
  </si>
  <si>
    <t xml:space="preserve">Analiză comparativă a contribuțiilor de asigurări sociale si al impozitului pe venit la nivelul țărilor din UE 28 </t>
  </si>
  <si>
    <t>Marea Britanie</t>
  </si>
  <si>
    <t>%</t>
  </si>
  <si>
    <t>Contributii sociale</t>
  </si>
  <si>
    <t>Baza impozit pe venit</t>
  </si>
  <si>
    <t>Venit net</t>
  </si>
  <si>
    <t>*HR</t>
  </si>
  <si>
    <t>**SI</t>
  </si>
  <si>
    <t>***SK</t>
  </si>
  <si>
    <t>moneda nationala</t>
  </si>
  <si>
    <t>Republica Ceha</t>
  </si>
  <si>
    <t>Romania</t>
  </si>
  <si>
    <t>Irlanda</t>
  </si>
  <si>
    <t>Spania</t>
  </si>
  <si>
    <t>Regatul Unit</t>
  </si>
  <si>
    <t>Venit mediu brut/an</t>
  </si>
  <si>
    <t xml:space="preserve">Total Taxare </t>
  </si>
  <si>
    <t>Cota impozit pe venit</t>
  </si>
  <si>
    <t>18% de la 3.091  PLN la 85.528 PLN; 32%  de la 85.528 PLN</t>
  </si>
  <si>
    <t>19% flat rate or taxation of lump-sum income at a rate of between 3% and 20%</t>
  </si>
  <si>
    <t>16% de la 0.00  EUR la 8,021.34  EUR; 27%  de la 8,021.34  EUR  la 18,960.28  EUR; 41%  de la 18,960.28  EUR la 70,907.20  EUR; 50% de la 70,907.20  EUR</t>
  </si>
  <si>
    <t>19% de la 0.00  EUR la 35,022.32  EUR; 25%  de la 35,022.32  EUR</t>
  </si>
  <si>
    <t>0% de la 0.00  EUR la 11,000.00  EUR; 36.50%  de la 11,000.00  EUR  la 25,000.00  EUR; 43.21%  de la 25,000.00  EUR la 60,000.00  EUR; 50% de la 60,000.00  EUR</t>
  </si>
  <si>
    <t>25% de la 0.00  EUR la 8,680.00  EUR; 30%  de la 8,680.00  EUR  la 12,360.00  EUR; 40%  de la 12,360.00  EUR la 20,600.00  EUR; 45% de la 20,600.00  EUR la 37,750.00  EUR; 50% de la 37,750.00  EUR</t>
  </si>
  <si>
    <t>12% de la 0.00  HRK la 26,400.00   HRK; 25%  de la 26,400.00   HRK  la 158,400.00   HRK; 40%  de la 158,400.00   HRK</t>
  </si>
  <si>
    <t>0% de la 0.00  EUR la 19,500.00  EUR; 20%  de la 19,501.00  EUR  la 28,000.00  EUR; 25%  de la 28,001.00  EUR la 36,300.00  EUR; 30% de la 36,301.00  EUR la 60,000.00  EUR; 35% de la 60,001.00  EUR</t>
  </si>
  <si>
    <t>6.50% de la 16,500.00  EUR la 24,700.00  EUR; 17.50%  de la 24,700.00  EUR  la 40,300.00  EUR; 21.50%  de la 40,300.00  EUR la 71,400.00  EUR; 29.75% de la 71,400.00  EUR la 90,000.00  EUR; 31.75% de la 90,000.00  EUR</t>
  </si>
  <si>
    <t>0% de la 0.00  EUR la 9,690.00  EUR; 14%  de la 9,690.00  EUR  la 26,764.00  EUR; 30%  de la 26,764.00  EUR la 71,754.00  EUR; 41% de la 71,754.00  EUR la 151,956.00  EUR; 45% de la 151,956.00  EUR</t>
  </si>
  <si>
    <t>22% de la 0.00  EUR la 25,000.00  EUR; 32%  de la 25,001.00  EUR  la 42,000.00  EUR; 42%  de la 42,001.00  EUR</t>
  </si>
  <si>
    <t>20% de la 0.00  EUR la 33,800.00  EUR; 40%  de la 33,801.00  EUR</t>
  </si>
  <si>
    <t>23% de la 0.00  EUR la 15,000.00  EUR; 27%  de la 15,000.01  EUR  la 28,000.00  EUR; 38%  de la 28,000.01  EUR la 55,000.00  EUR; 41% de la 55,000.01  EUR la 75,000.00  EUR; 43% de la 75,000.01  EUR</t>
  </si>
  <si>
    <t>36.50% de la 0.00  EUR la 19,822.00  EUR; 42%  de la 19,822.00  EUR  la 33,589.00  EUR; 42%  de la 33,589.00  EUR la 57,585.00  EUR; 52% de la 57,585.00  EUR</t>
  </si>
  <si>
    <t>14.50% de la 0.00  EUR la 7,000.00  EUR; 28.50%  de la 7,000.00  EUR  la 20,000.00  EUR; 37%  de la 20,000.00  EUR la 40,000.00  EUR; 45% de la 40,000.00  EUR la 80,000.00  EUR; 48% de la 80,000.00  EUR</t>
  </si>
  <si>
    <t>20% de la 0.00  EUR la 12,450.00  EUR; 25%  de la 12,450.00  EUR  la 20,200.00  EUR; 31%  de la 20,200.00  EUR la 34,000.00  EUR; 39% de la 34,000.00  EUR la 60,000.00  EUR; 47% de la 60,000.00  EUR</t>
  </si>
  <si>
    <t>20% de la 0.00  GBP la 31,865.00  GBP; 40%  de la 31,866.00  GBP  la 150,000.00  GBP; 45%  de la 150,001.00  GBP</t>
  </si>
  <si>
    <t>0% de la 0 EUR la 11.264 EUR/an, 8% de la 11.265 eur/an la 13.172 eur/an, 10% de la 13.173 eur la 15.080 eur, 12% de la 15.081 eur la 16.988 eur, 14% de la 16.989 eur la 18.896 eur, 16% de la 18.897 la 20.804, 18% de la 20.805 la 22.712, 20% de la 22.713 la 24.620, 22% de la 24.621 la 26.528, 24% de la 26.529 la 28.436, 26% de la 28.437 la 30.344, 28% de la 30.345 la 32.252, 30% de la 32.253 la 34.160, 32% de la 34.161 la 36.068, 34% de la 36.069 la 37.976, 36% de la 37.977 la 39.854, 38% de la 39.855 la 41.792, 39% de la 41.793 la 99.999, 40% de la 100.000 eur</t>
  </si>
  <si>
    <t>0% de la 0.00  EUR la 8,500.00  EUR; 15%  de la 8,501.00  EUR  la 14,500.00  EUR; 25%  de la 14,501.00  EUR la 60,000.00  EUR; 35% de la 60,001.00  EUR</t>
  </si>
  <si>
    <t>20% de la 430,200.00  SEK la 616,099.99 SEK; 25%  de la 616,100.00 SEK</t>
  </si>
  <si>
    <t>Cota medie contributii sociale</t>
  </si>
  <si>
    <t>Clasament in functie de cota totala de contributii sociale - angajat+angajator</t>
  </si>
  <si>
    <t>Clasament in functie de cota totala de contributii sociale - PFA</t>
  </si>
  <si>
    <t>DKK 9.136-11.136/an</t>
  </si>
  <si>
    <t>19% de la 0,00 EUR la 35022,3 EUR; 25% peste 35022,3 EUR</t>
  </si>
  <si>
    <t xml:space="preserve"> 36,5% de la 11000 EUR la 25.000EUR ; 43,21% de la  25000 EUR la 60000 EUR; 50% peste 60001 EUR</t>
  </si>
  <si>
    <r>
      <t xml:space="preserve"> 8,35% de la</t>
    </r>
    <r>
      <rPr>
        <sz val="7"/>
        <color theme="0"/>
        <rFont val="Calibri"/>
        <family val="2"/>
        <scheme val="minor"/>
      </rPr>
      <t xml:space="preserve">  0.00  EUR la 19,822.00  EUR; </t>
    </r>
    <r>
      <rPr>
        <b/>
        <sz val="7"/>
        <color theme="0"/>
        <rFont val="Calibri"/>
        <family val="2"/>
        <scheme val="minor"/>
      </rPr>
      <t>13,85% de la  19,822.00  EUR la</t>
    </r>
    <r>
      <rPr>
        <sz val="7"/>
        <color theme="0"/>
        <rFont val="Calibri"/>
        <family val="2"/>
        <scheme val="minor"/>
      </rPr>
      <t xml:space="preserve"> 33589 EUR; </t>
    </r>
    <r>
      <rPr>
        <b/>
        <sz val="7"/>
        <color theme="0"/>
        <rFont val="Calibri"/>
        <family val="2"/>
        <scheme val="minor"/>
      </rPr>
      <t xml:space="preserve"> 42% de la 33,589.00  EUR la 57,585.00 EUR; 52% de la 57,585.00  EUR</t>
    </r>
  </si>
  <si>
    <t xml:space="preserve">Plafon lunar: 4120 EUR </t>
  </si>
  <si>
    <t>Baza minima de calcul 412 EUR/luna. Baza de calcul pentru sanatate 62,5% din venitul lunar; pentru pensii si celelalte contributii 52,6% din venitul lunar.Pentru venit sub 50% din salariul mediu brut pe economie se excepteaza plata contributiilor sociale, exclusiv sanatatea</t>
  </si>
  <si>
    <r>
      <t>28,47% de la 910</t>
    </r>
    <r>
      <rPr>
        <b/>
        <sz val="8"/>
        <rFont val="Calibri"/>
        <family val="2"/>
        <charset val="238"/>
      </rPr>
      <t>€/an la 9.869€/an; 15% de la 9.870 la 21.749; 51,47% peste 21.750</t>
    </r>
  </si>
  <si>
    <t>25% pana in 8680€, 30% intre €8.680 si  €12.360; 40% intre  
€12.360 – €20.600; 45% intre  
€20.600 – €37.750; 50% peste €37.750</t>
  </si>
  <si>
    <t xml:space="preserve">0% pana in €9.690; 14% intre €9.690 si €26.764; 30% intre €26,764 si €71,754; 41% intre €71.754 si €151.956; 45% peste €151.956 </t>
  </si>
  <si>
    <t>sub 8354 EUR/an nu se taxeaza;  14% [8,355 – 52,881] EUR/an ;  42% [52882;250730] 45% peste 250730 EUR/an    21,5 (pentru salariul mediu)</t>
  </si>
  <si>
    <t>26% pana in €50.000, 33% peste €50.001</t>
  </si>
  <si>
    <t>23% pana in  €15.000; 27% intre €15.001 si €28.000; 38% intre €28.001 si €55.000; 41% intre €55.001 si €75.000; 43% peste €75.001</t>
  </si>
  <si>
    <t>20% pana in 33800EUR; 40% peste 33801 EUR</t>
  </si>
  <si>
    <t xml:space="preserve">20% pana in 12.450 EUR; 25% intre 12.450 si 20.200; 31% intre 20.200 si 35.200; 39% intre 35.200 si 60.000; 47% peste 60.000 EUR; </t>
  </si>
  <si>
    <t>Clasament povara fiscala PFA*</t>
  </si>
  <si>
    <t>Venitul mediu brut anual reprezinta baza impozabila la care se aplica contributiile. Nu au fost luate in calculul contributiilor sau a impozitului pe venit eventualele deduceri.</t>
  </si>
  <si>
    <t>Salariat</t>
  </si>
  <si>
    <t>Analiză comparativă a venitului net obtinut de salariat la nivelul țărilor din UE28 - anul 2015</t>
  </si>
  <si>
    <t>Clasament povara fiscala salariat</t>
  </si>
  <si>
    <t>salariat</t>
  </si>
  <si>
    <t>Analiză comparativă a contribuțiilor de asigurări sociale platite de PFA la nivelul țărilor din UE28- anul 2015</t>
  </si>
  <si>
    <t>Anglia</t>
  </si>
  <si>
    <t>Cehia</t>
  </si>
  <si>
    <t>Clasament</t>
  </si>
  <si>
    <t>Cota</t>
  </si>
  <si>
    <t>Contribuții totale PFA (%)</t>
  </si>
  <si>
    <r>
      <t>22% intre 12.871 si 55.577€; 14,16% intre 55.577 si 81.903</t>
    </r>
    <r>
      <rPr>
        <b/>
        <sz val="11"/>
        <rFont val="Calibri"/>
        <family val="2"/>
        <charset val="238"/>
      </rPr>
      <t>€</t>
    </r>
  </si>
  <si>
    <r>
      <t>22,65% intre 15.548 si 46.123</t>
    </r>
    <r>
      <rPr>
        <b/>
        <sz val="11"/>
        <rFont val="Calibri"/>
        <family val="2"/>
        <charset val="238"/>
      </rPr>
      <t>€</t>
    </r>
    <r>
      <rPr>
        <b/>
        <sz val="11"/>
        <rFont val="Calibri"/>
        <family val="2"/>
      </rPr>
      <t>; 23,65% intre 46.123 si 76.872</t>
    </r>
    <r>
      <rPr>
        <b/>
        <sz val="11"/>
        <rFont val="Calibri"/>
        <family val="2"/>
        <charset val="238"/>
      </rPr>
      <t>€</t>
    </r>
  </si>
  <si>
    <r>
      <t>Sub 12.871</t>
    </r>
    <r>
      <rPr>
        <sz val="10"/>
        <rFont val="Calibri"/>
        <family val="2"/>
        <charset val="238"/>
      </rPr>
      <t>€/an</t>
    </r>
    <r>
      <rPr>
        <sz val="10"/>
        <rFont val="Calibri"/>
        <family val="2"/>
      </rPr>
      <t xml:space="preserve"> se platesc contributii in suma fixa de</t>
    </r>
    <r>
      <rPr>
        <sz val="10"/>
        <rFont val="Calibri"/>
        <family val="2"/>
        <scheme val="minor"/>
      </rPr>
      <t xml:space="preserve"> 707,87 euro/trimestru</t>
    </r>
  </si>
  <si>
    <r>
      <t>355</t>
    </r>
    <r>
      <rPr>
        <sz val="11"/>
        <rFont val="Calibri"/>
        <family val="2"/>
        <charset val="238"/>
      </rPr>
      <t>€</t>
    </r>
    <r>
      <rPr>
        <sz val="11"/>
        <rFont val="Calibri"/>
        <family val="2"/>
        <scheme val="minor"/>
      </rPr>
      <t>/luna</t>
    </r>
  </si>
  <si>
    <r>
      <t>10612</t>
    </r>
    <r>
      <rPr>
        <sz val="11"/>
        <rFont val="Calibri"/>
        <family val="2"/>
        <charset val="238"/>
      </rPr>
      <t>€</t>
    </r>
    <r>
      <rPr>
        <sz val="11"/>
        <rFont val="Calibri"/>
        <family val="2"/>
        <scheme val="minor"/>
      </rPr>
      <t>/an</t>
    </r>
  </si>
  <si>
    <t>baza minima de calcul 412 EUR/luna ( pentru sanatate 62,5% din venitul lunar; pentru pensii si celelalte contributii 52,6% din venitul lunar)</t>
  </si>
  <si>
    <t>Baza impozabila maxima</t>
  </si>
  <si>
    <r>
      <t>81903</t>
    </r>
    <r>
      <rPr>
        <sz val="10"/>
        <rFont val="Calibri"/>
        <family val="2"/>
        <charset val="238"/>
      </rPr>
      <t>€</t>
    </r>
    <r>
      <rPr>
        <sz val="10"/>
        <rFont val="Calibri"/>
        <family val="2"/>
      </rPr>
      <t>/an</t>
    </r>
  </si>
  <si>
    <r>
      <t>70200</t>
    </r>
    <r>
      <rPr>
        <sz val="11"/>
        <rFont val="Calibri"/>
        <family val="2"/>
        <charset val="238"/>
      </rPr>
      <t>€</t>
    </r>
    <r>
      <rPr>
        <sz val="11"/>
        <rFont val="Calibri"/>
        <family val="2"/>
      </rPr>
      <t>/an</t>
    </r>
  </si>
  <si>
    <r>
      <t xml:space="preserve"> 43272</t>
    </r>
    <r>
      <rPr>
        <sz val="11"/>
        <rFont val="Calibri"/>
        <family val="2"/>
        <charset val="238"/>
      </rPr>
      <t>€</t>
    </r>
    <r>
      <rPr>
        <sz val="11"/>
        <rFont val="Calibri"/>
        <family val="2"/>
        <scheme val="minor"/>
      </rPr>
      <t>/an</t>
    </r>
  </si>
  <si>
    <r>
      <t>76872</t>
    </r>
    <r>
      <rPr>
        <sz val="11"/>
        <rFont val="Calibri"/>
        <family val="2"/>
        <charset val="238"/>
      </rPr>
      <t>€</t>
    </r>
    <r>
      <rPr>
        <sz val="11"/>
        <rFont val="Calibri"/>
        <family val="2"/>
      </rPr>
      <t>/an</t>
    </r>
  </si>
  <si>
    <t>4120 EUR/luna. Pentru venit sub 50% din salariul mediu brut pe economie se excepteaza plata contributiilor sociale, exclusiv sanatatea</t>
  </si>
  <si>
    <t>Plafon ca numar de salarii medii</t>
  </si>
  <si>
    <t>8076 HRK</t>
  </si>
  <si>
    <t>Contributie maxima</t>
  </si>
  <si>
    <t>26.767,7 EUR</t>
  </si>
  <si>
    <t>1.489,1 EUR</t>
  </si>
  <si>
    <t>15954,65€/an</t>
  </si>
  <si>
    <r>
      <t>23166</t>
    </r>
    <r>
      <rPr>
        <sz val="11"/>
        <rFont val="Calibri"/>
        <family val="2"/>
        <charset val="238"/>
      </rPr>
      <t>€</t>
    </r>
    <r>
      <rPr>
        <sz val="11"/>
        <rFont val="Calibri"/>
        <family val="2"/>
      </rPr>
      <t>/an</t>
    </r>
  </si>
  <si>
    <r>
      <t>12895,056</t>
    </r>
    <r>
      <rPr>
        <sz val="11"/>
        <rFont val="Calibri"/>
        <family val="2"/>
        <charset val="238"/>
      </rPr>
      <t>€</t>
    </r>
    <r>
      <rPr>
        <sz val="11"/>
        <rFont val="Calibri"/>
        <family val="2"/>
      </rPr>
      <t>/an</t>
    </r>
  </si>
  <si>
    <r>
      <rPr>
        <b/>
        <sz val="11"/>
        <rFont val="Calibri"/>
        <family val="2"/>
        <charset val="238"/>
        <scheme val="minor"/>
      </rPr>
      <t>25%</t>
    </r>
    <r>
      <rPr>
        <sz val="11"/>
        <rFont val="Calibri"/>
        <family val="2"/>
        <scheme val="minor"/>
      </rPr>
      <t xml:space="preserve"> pana in 8680</t>
    </r>
    <r>
      <rPr>
        <sz val="11"/>
        <rFont val="Calibri"/>
        <family val="2"/>
        <charset val="238"/>
      </rPr>
      <t>€</t>
    </r>
    <r>
      <rPr>
        <sz val="11"/>
        <rFont val="Calibri"/>
        <family val="2"/>
        <scheme val="minor"/>
      </rPr>
      <t xml:space="preserve">, </t>
    </r>
    <r>
      <rPr>
        <b/>
        <sz val="11"/>
        <rFont val="Calibri"/>
        <family val="2"/>
        <charset val="238"/>
        <scheme val="minor"/>
      </rPr>
      <t>30%</t>
    </r>
    <r>
      <rPr>
        <sz val="11"/>
        <rFont val="Calibri"/>
        <family val="2"/>
        <scheme val="minor"/>
      </rPr>
      <t xml:space="preserve"> intre €8.680 si  €12.360; </t>
    </r>
    <r>
      <rPr>
        <b/>
        <sz val="11"/>
        <rFont val="Calibri"/>
        <family val="2"/>
        <charset val="238"/>
        <scheme val="minor"/>
      </rPr>
      <t>40%</t>
    </r>
    <r>
      <rPr>
        <sz val="11"/>
        <rFont val="Calibri"/>
        <family val="2"/>
        <scheme val="minor"/>
      </rPr>
      <t xml:space="preserve"> intre  
€12.360 – €20.600; </t>
    </r>
    <r>
      <rPr>
        <b/>
        <sz val="11"/>
        <rFont val="Calibri"/>
        <family val="2"/>
        <charset val="238"/>
        <scheme val="minor"/>
      </rPr>
      <t>45%</t>
    </r>
    <r>
      <rPr>
        <sz val="11"/>
        <rFont val="Calibri"/>
        <family val="2"/>
        <scheme val="minor"/>
      </rPr>
      <t xml:space="preserve"> intre  
€20.600 – €37.750; </t>
    </r>
    <r>
      <rPr>
        <b/>
        <sz val="11"/>
        <rFont val="Calibri"/>
        <family val="2"/>
        <charset val="238"/>
        <scheme val="minor"/>
      </rPr>
      <t>50%</t>
    </r>
    <r>
      <rPr>
        <sz val="11"/>
        <rFont val="Calibri"/>
        <family val="2"/>
        <scheme val="minor"/>
      </rPr>
      <t xml:space="preserve"> peste €37.750</t>
    </r>
  </si>
  <si>
    <r>
      <rPr>
        <b/>
        <sz val="11"/>
        <rFont val="Calibri"/>
        <family val="2"/>
        <charset val="238"/>
        <scheme val="minor"/>
      </rPr>
      <t>26%</t>
    </r>
    <r>
      <rPr>
        <sz val="11"/>
        <rFont val="Calibri"/>
        <family val="2"/>
        <scheme val="minor"/>
      </rPr>
      <t xml:space="preserve"> pana in €50.000, </t>
    </r>
    <r>
      <rPr>
        <b/>
        <sz val="11"/>
        <rFont val="Calibri"/>
        <family val="2"/>
        <charset val="238"/>
        <scheme val="minor"/>
      </rPr>
      <t>33%</t>
    </r>
    <r>
      <rPr>
        <sz val="11"/>
        <rFont val="Calibri"/>
        <family val="2"/>
        <scheme val="minor"/>
      </rPr>
      <t xml:space="preserve"> peste €50.001</t>
    </r>
  </si>
  <si>
    <r>
      <rPr>
        <b/>
        <sz val="11"/>
        <rFont val="Calibri"/>
        <family val="2"/>
        <charset val="238"/>
        <scheme val="minor"/>
      </rPr>
      <t>20%</t>
    </r>
    <r>
      <rPr>
        <sz val="11"/>
        <rFont val="Calibri"/>
        <family val="2"/>
        <scheme val="minor"/>
      </rPr>
      <t xml:space="preserve"> pana in 12.450 EUR; </t>
    </r>
    <r>
      <rPr>
        <b/>
        <sz val="11"/>
        <rFont val="Calibri"/>
        <family val="2"/>
        <charset val="238"/>
        <scheme val="minor"/>
      </rPr>
      <t>25%</t>
    </r>
    <r>
      <rPr>
        <sz val="11"/>
        <rFont val="Calibri"/>
        <family val="2"/>
        <scheme val="minor"/>
      </rPr>
      <t xml:space="preserve"> intre 12.450 si 20.200; </t>
    </r>
    <r>
      <rPr>
        <b/>
        <sz val="11"/>
        <rFont val="Calibri"/>
        <family val="2"/>
        <charset val="238"/>
        <scheme val="minor"/>
      </rPr>
      <t>31%</t>
    </r>
    <r>
      <rPr>
        <sz val="11"/>
        <rFont val="Calibri"/>
        <family val="2"/>
        <scheme val="minor"/>
      </rPr>
      <t xml:space="preserve"> intre 20.200 si 35.200; </t>
    </r>
    <r>
      <rPr>
        <b/>
        <sz val="11"/>
        <rFont val="Calibri"/>
        <family val="2"/>
        <charset val="238"/>
        <scheme val="minor"/>
      </rPr>
      <t>39%</t>
    </r>
    <r>
      <rPr>
        <sz val="11"/>
        <rFont val="Calibri"/>
        <family val="2"/>
        <scheme val="minor"/>
      </rPr>
      <t xml:space="preserve"> intre 35.200 si 60.000; </t>
    </r>
    <r>
      <rPr>
        <b/>
        <sz val="11"/>
        <rFont val="Calibri"/>
        <family val="2"/>
        <charset val="238"/>
        <scheme val="minor"/>
      </rPr>
      <t>47%</t>
    </r>
    <r>
      <rPr>
        <sz val="11"/>
        <rFont val="Calibri"/>
        <family val="2"/>
        <scheme val="minor"/>
      </rPr>
      <t xml:space="preserve"> peste 60.000 EUR; </t>
    </r>
  </si>
  <si>
    <r>
      <rPr>
        <b/>
        <sz val="11"/>
        <rFont val="Calibri"/>
        <family val="2"/>
        <charset val="238"/>
        <scheme val="minor"/>
      </rPr>
      <t>0%</t>
    </r>
    <r>
      <rPr>
        <sz val="11"/>
        <rFont val="Calibri"/>
        <family val="2"/>
        <scheme val="minor"/>
      </rPr>
      <t xml:space="preserve"> pana in €9.690; </t>
    </r>
    <r>
      <rPr>
        <b/>
        <sz val="11"/>
        <rFont val="Calibri"/>
        <family val="2"/>
        <charset val="238"/>
        <scheme val="minor"/>
      </rPr>
      <t>14%</t>
    </r>
    <r>
      <rPr>
        <sz val="11"/>
        <rFont val="Calibri"/>
        <family val="2"/>
        <scheme val="minor"/>
      </rPr>
      <t xml:space="preserve"> intre €9.690 si €26.764; </t>
    </r>
    <r>
      <rPr>
        <b/>
        <sz val="11"/>
        <rFont val="Calibri"/>
        <family val="2"/>
        <charset val="238"/>
        <scheme val="minor"/>
      </rPr>
      <t>30%</t>
    </r>
    <r>
      <rPr>
        <sz val="11"/>
        <rFont val="Calibri"/>
        <family val="2"/>
        <scheme val="minor"/>
      </rPr>
      <t xml:space="preserve"> intre €26,764 si €71,754;</t>
    </r>
    <r>
      <rPr>
        <b/>
        <sz val="11"/>
        <rFont val="Calibri"/>
        <family val="2"/>
        <charset val="238"/>
        <scheme val="minor"/>
      </rPr>
      <t xml:space="preserve"> 41%</t>
    </r>
    <r>
      <rPr>
        <sz val="11"/>
        <rFont val="Calibri"/>
        <family val="2"/>
        <scheme val="minor"/>
      </rPr>
      <t xml:space="preserve"> intre €71.754 si €151.956; </t>
    </r>
    <r>
      <rPr>
        <b/>
        <sz val="11"/>
        <rFont val="Calibri"/>
        <family val="2"/>
        <charset val="238"/>
        <scheme val="minor"/>
      </rPr>
      <t>45%</t>
    </r>
    <r>
      <rPr>
        <sz val="11"/>
        <rFont val="Calibri"/>
        <family val="2"/>
        <scheme val="minor"/>
      </rPr>
      <t xml:space="preserve"> peste €151.956 </t>
    </r>
  </si>
  <si>
    <r>
      <rPr>
        <b/>
        <sz val="11"/>
        <rFont val="Calibri"/>
        <family val="2"/>
        <charset val="238"/>
        <scheme val="minor"/>
      </rPr>
      <t>20%</t>
    </r>
    <r>
      <rPr>
        <sz val="11"/>
        <rFont val="Calibri"/>
        <family val="2"/>
        <scheme val="minor"/>
      </rPr>
      <t xml:space="preserve"> pana in 33800EUR; </t>
    </r>
    <r>
      <rPr>
        <b/>
        <sz val="11"/>
        <rFont val="Calibri"/>
        <family val="2"/>
        <charset val="238"/>
        <scheme val="minor"/>
      </rPr>
      <t>40%</t>
    </r>
    <r>
      <rPr>
        <sz val="11"/>
        <rFont val="Calibri"/>
        <family val="2"/>
        <scheme val="minor"/>
      </rPr>
      <t xml:space="preserve"> peste 33801 EUR</t>
    </r>
  </si>
  <si>
    <r>
      <rPr>
        <b/>
        <sz val="11"/>
        <rFont val="Calibri"/>
        <family val="2"/>
        <charset val="238"/>
        <scheme val="minor"/>
      </rPr>
      <t>23%</t>
    </r>
    <r>
      <rPr>
        <sz val="11"/>
        <rFont val="Calibri"/>
        <family val="2"/>
        <scheme val="minor"/>
      </rPr>
      <t xml:space="preserve"> pana in  €15.000; </t>
    </r>
    <r>
      <rPr>
        <b/>
        <sz val="11"/>
        <rFont val="Calibri"/>
        <family val="2"/>
        <charset val="238"/>
        <scheme val="minor"/>
      </rPr>
      <t>27%</t>
    </r>
    <r>
      <rPr>
        <sz val="11"/>
        <rFont val="Calibri"/>
        <family val="2"/>
        <scheme val="minor"/>
      </rPr>
      <t xml:space="preserve"> intre €15.001 si €28.000;</t>
    </r>
    <r>
      <rPr>
        <b/>
        <sz val="11"/>
        <rFont val="Calibri"/>
        <family val="2"/>
        <charset val="238"/>
        <scheme val="minor"/>
      </rPr>
      <t xml:space="preserve"> 38%</t>
    </r>
    <r>
      <rPr>
        <sz val="11"/>
        <rFont val="Calibri"/>
        <family val="2"/>
        <scheme val="minor"/>
      </rPr>
      <t xml:space="preserve"> intre €28.001 si €55.000; </t>
    </r>
    <r>
      <rPr>
        <b/>
        <sz val="11"/>
        <rFont val="Calibri"/>
        <family val="2"/>
        <charset val="238"/>
        <scheme val="minor"/>
      </rPr>
      <t>41%</t>
    </r>
    <r>
      <rPr>
        <sz val="11"/>
        <rFont val="Calibri"/>
        <family val="2"/>
        <scheme val="minor"/>
      </rPr>
      <t xml:space="preserve"> intre €55.001 si €75.000;</t>
    </r>
    <r>
      <rPr>
        <b/>
        <sz val="11"/>
        <rFont val="Calibri"/>
        <family val="2"/>
        <charset val="238"/>
        <scheme val="minor"/>
      </rPr>
      <t xml:space="preserve"> 43% </t>
    </r>
    <r>
      <rPr>
        <sz val="11"/>
        <rFont val="Calibri"/>
        <family val="2"/>
        <scheme val="minor"/>
      </rPr>
      <t>peste €75.001</t>
    </r>
  </si>
  <si>
    <r>
      <t xml:space="preserve">sistem progresiv </t>
    </r>
    <r>
      <rPr>
        <b/>
        <sz val="10"/>
        <rFont val="Calibri"/>
        <family val="2"/>
        <charset val="238"/>
        <scheme val="minor"/>
      </rPr>
      <t>36,5</t>
    </r>
    <r>
      <rPr>
        <sz val="10"/>
        <rFont val="Calibri"/>
        <family val="2"/>
        <charset val="238"/>
        <scheme val="minor"/>
      </rPr>
      <t xml:space="preserve"> [11000 ; 25.000]EUR/an; </t>
    </r>
    <r>
      <rPr>
        <b/>
        <sz val="10"/>
        <rFont val="Calibri"/>
        <family val="2"/>
        <charset val="238"/>
        <scheme val="minor"/>
      </rPr>
      <t>43,21</t>
    </r>
    <r>
      <rPr>
        <sz val="10"/>
        <rFont val="Calibri"/>
        <family val="2"/>
        <charset val="238"/>
        <scheme val="minor"/>
      </rPr>
      <t xml:space="preserve"> [25001;60000] EUR/an;</t>
    </r>
    <r>
      <rPr>
        <b/>
        <sz val="10"/>
        <rFont val="Calibri"/>
        <family val="2"/>
        <charset val="238"/>
        <scheme val="minor"/>
      </rPr>
      <t>50</t>
    </r>
    <r>
      <rPr>
        <sz val="10"/>
        <rFont val="Calibri"/>
        <family val="2"/>
        <charset val="238"/>
        <scheme val="minor"/>
      </rPr>
      <t xml:space="preserve"> &gt;60001 EUR/an</t>
    </r>
  </si>
  <si>
    <r>
      <t xml:space="preserve">sistem progresiv </t>
    </r>
    <r>
      <rPr>
        <b/>
        <sz val="10"/>
        <rFont val="Calibri"/>
        <family val="2"/>
        <charset val="238"/>
        <scheme val="minor"/>
      </rPr>
      <t>20</t>
    </r>
    <r>
      <rPr>
        <sz val="10"/>
        <rFont val="Calibri"/>
        <family val="2"/>
        <charset val="238"/>
        <scheme val="minor"/>
      </rPr>
      <t xml:space="preserve"> [19500 ; 28.000]EUR/an; </t>
    </r>
    <r>
      <rPr>
        <b/>
        <sz val="10"/>
        <rFont val="Calibri"/>
        <family val="2"/>
        <charset val="238"/>
        <scheme val="minor"/>
      </rPr>
      <t>25</t>
    </r>
    <r>
      <rPr>
        <sz val="10"/>
        <rFont val="Calibri"/>
        <family val="2"/>
        <charset val="238"/>
        <scheme val="minor"/>
      </rPr>
      <t xml:space="preserve"> [28.001;36300] EUR/an;30 [36301;60000] EUR/an; 3</t>
    </r>
    <r>
      <rPr>
        <b/>
        <sz val="10"/>
        <rFont val="Calibri"/>
        <family val="2"/>
        <charset val="238"/>
        <scheme val="minor"/>
      </rPr>
      <t>5</t>
    </r>
    <r>
      <rPr>
        <sz val="10"/>
        <rFont val="Calibri"/>
        <family val="2"/>
        <charset val="238"/>
        <scheme val="minor"/>
      </rPr>
      <t xml:space="preserve"> &gt;60001 EUR/an</t>
    </r>
  </si>
  <si>
    <r>
      <rPr>
        <sz val="10"/>
        <rFont val="Calibri"/>
        <family val="2"/>
        <charset val="238"/>
        <scheme val="minor"/>
      </rPr>
      <t>sistem progresiv</t>
    </r>
    <r>
      <rPr>
        <b/>
        <sz val="10"/>
        <rFont val="Calibri"/>
        <family val="2"/>
        <charset val="238"/>
        <scheme val="minor"/>
      </rPr>
      <t xml:space="preserve"> 12 &lt;</t>
    </r>
    <r>
      <rPr>
        <sz val="10"/>
        <rFont val="Calibri"/>
        <family val="2"/>
        <charset val="238"/>
        <scheme val="minor"/>
      </rPr>
      <t>2200 HRK/luna</t>
    </r>
    <r>
      <rPr>
        <b/>
        <sz val="10"/>
        <rFont val="Calibri"/>
        <family val="2"/>
        <charset val="238"/>
        <scheme val="minor"/>
      </rPr>
      <t xml:space="preserve"> ;25 </t>
    </r>
    <r>
      <rPr>
        <sz val="10"/>
        <rFont val="Calibri"/>
        <family val="2"/>
        <charset val="238"/>
        <scheme val="minor"/>
      </rPr>
      <t xml:space="preserve">[2200;13200]HRK/luna </t>
    </r>
    <r>
      <rPr>
        <b/>
        <sz val="10"/>
        <rFont val="Calibri"/>
        <family val="2"/>
        <charset val="238"/>
        <scheme val="minor"/>
      </rPr>
      <t>;40</t>
    </r>
    <r>
      <rPr>
        <sz val="10"/>
        <rFont val="Calibri"/>
        <family val="2"/>
        <charset val="238"/>
        <scheme val="minor"/>
      </rPr>
      <t>&gt; 13200 HRK/luna</t>
    </r>
  </si>
  <si>
    <r>
      <t xml:space="preserve">sistem progresiv </t>
    </r>
    <r>
      <rPr>
        <b/>
        <sz val="10"/>
        <rFont val="Calibri"/>
        <family val="2"/>
        <charset val="238"/>
        <scheme val="minor"/>
      </rPr>
      <t>8,35</t>
    </r>
    <r>
      <rPr>
        <sz val="10"/>
        <rFont val="Calibri"/>
        <family val="2"/>
        <charset val="238"/>
        <scheme val="minor"/>
      </rPr>
      <t xml:space="preserve"> [2203 ; 19822]; </t>
    </r>
    <r>
      <rPr>
        <b/>
        <sz val="10"/>
        <rFont val="Calibri"/>
        <family val="2"/>
        <charset val="238"/>
        <scheme val="minor"/>
      </rPr>
      <t>13,85</t>
    </r>
    <r>
      <rPr>
        <sz val="10"/>
        <rFont val="Calibri"/>
        <family val="2"/>
        <charset val="238"/>
        <scheme val="minor"/>
      </rPr>
      <t xml:space="preserve">[19823 ; 33589]; </t>
    </r>
    <r>
      <rPr>
        <b/>
        <sz val="10"/>
        <rFont val="Calibri"/>
        <family val="2"/>
        <charset val="238"/>
        <scheme val="minor"/>
      </rPr>
      <t>42</t>
    </r>
    <r>
      <rPr>
        <sz val="10"/>
        <rFont val="Calibri"/>
        <family val="2"/>
        <charset val="238"/>
        <scheme val="minor"/>
      </rPr>
      <t xml:space="preserve"> [33589 ; 57585]EUR/an; </t>
    </r>
    <r>
      <rPr>
        <b/>
        <sz val="10"/>
        <rFont val="Calibri"/>
        <family val="2"/>
        <charset val="238"/>
        <scheme val="minor"/>
      </rPr>
      <t>52</t>
    </r>
    <r>
      <rPr>
        <sz val="10"/>
        <rFont val="Calibri"/>
        <family val="2"/>
        <charset val="238"/>
        <scheme val="minor"/>
      </rPr>
      <t xml:space="preserve"> &gt;57585 EUR/an</t>
    </r>
  </si>
  <si>
    <r>
      <t xml:space="preserve">sistem progresiv </t>
    </r>
    <r>
      <rPr>
        <b/>
        <sz val="10"/>
        <rFont val="Calibri"/>
        <family val="2"/>
        <charset val="238"/>
        <scheme val="minor"/>
      </rPr>
      <t>16</t>
    </r>
    <r>
      <rPr>
        <sz val="10"/>
        <rFont val="Calibri"/>
        <family val="2"/>
        <charset val="238"/>
        <scheme val="minor"/>
      </rPr>
      <t xml:space="preserve"> &lt;8021,34; </t>
    </r>
    <r>
      <rPr>
        <b/>
        <sz val="10"/>
        <rFont val="Calibri"/>
        <family val="2"/>
        <charset val="238"/>
        <scheme val="minor"/>
      </rPr>
      <t>27</t>
    </r>
    <r>
      <rPr>
        <sz val="10"/>
        <rFont val="Calibri"/>
        <family val="2"/>
        <charset val="238"/>
        <scheme val="minor"/>
      </rPr>
      <t xml:space="preserve">[8021,34 ; 18960,28]; </t>
    </r>
    <r>
      <rPr>
        <b/>
        <sz val="10"/>
        <rFont val="Calibri"/>
        <family val="2"/>
        <charset val="238"/>
        <scheme val="minor"/>
      </rPr>
      <t>41</t>
    </r>
    <r>
      <rPr>
        <sz val="10"/>
        <rFont val="Calibri"/>
        <family val="2"/>
        <charset val="238"/>
        <scheme val="minor"/>
      </rPr>
      <t xml:space="preserve"> [18960,28 ; 70907,2]EUR/an; </t>
    </r>
    <r>
      <rPr>
        <b/>
        <sz val="10"/>
        <rFont val="Calibri"/>
        <family val="2"/>
        <charset val="238"/>
        <scheme val="minor"/>
      </rPr>
      <t>50</t>
    </r>
    <r>
      <rPr>
        <sz val="10"/>
        <rFont val="Calibri"/>
        <family val="2"/>
        <charset val="238"/>
        <scheme val="minor"/>
      </rPr>
      <t xml:space="preserve"> &gt;70907,2 EUR/an</t>
    </r>
  </si>
  <si>
    <r>
      <t xml:space="preserve">sistem progresiv 19 </t>
    </r>
    <r>
      <rPr>
        <sz val="10"/>
        <rFont val="Calibri"/>
        <family val="2"/>
        <charset val="238"/>
        <scheme val="minor"/>
      </rPr>
      <t>&lt;35022,3 EUR/an</t>
    </r>
    <r>
      <rPr>
        <b/>
        <sz val="10"/>
        <rFont val="Calibri"/>
        <family val="2"/>
        <charset val="238"/>
        <scheme val="minor"/>
      </rPr>
      <t xml:space="preserve">; 25% </t>
    </r>
    <r>
      <rPr>
        <sz val="10"/>
        <rFont val="Calibri"/>
        <family val="2"/>
        <charset val="238"/>
        <scheme val="minor"/>
      </rPr>
      <t>&gt;35022,3 EUR/an;</t>
    </r>
  </si>
  <si>
    <t>Clasament povara fiscala salariat/ PFA</t>
  </si>
  <si>
    <r>
      <t>28,47% de la 910</t>
    </r>
    <r>
      <rPr>
        <b/>
        <sz val="11"/>
        <rFont val="Calibri"/>
        <family val="2"/>
        <charset val="238"/>
      </rPr>
      <t>€</t>
    </r>
    <r>
      <rPr>
        <b/>
        <sz val="8.8000000000000007"/>
        <rFont val="Calibri"/>
        <family val="2"/>
      </rPr>
      <t xml:space="preserve"> </t>
    </r>
    <r>
      <rPr>
        <b/>
        <sz val="11"/>
        <rFont val="Calibri"/>
        <family val="2"/>
        <charset val="238"/>
      </rPr>
      <t>la 9.869€; 15% de la 9.870 la 21.749; 51,47% peste 21.750</t>
    </r>
  </si>
  <si>
    <t>Analiză comparativă a venitului net obtinut de PFA la nivelul țărilor din UE28 - anul 2015</t>
  </si>
  <si>
    <t>Analiză comparativă a venitului net obtinut de salariat si PFA la nivelul țărilor din UE28 - anul 2015</t>
  </si>
  <si>
    <t>* Clasamentul se realizeaza in functie de povara fiscala (impozit pe venit si contributii). Au fost considerate 12 salarii medii lunare, iar clasamentul este ordonat de la cel mai ridicat nivel al poverii fiscale la cel mai scazut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</si>
</sst>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R_O_N_-;\-* #,##0.00\ _R_O_N_-;_-* &quot;-&quot;??\ _R_O_N_-;_-@_-"/>
    <numFmt numFmtId="165" formatCode="_-* #,##0.00\ _z_ł_-;\-* #,##0.00\ _z_ł_-;_-* &quot;-&quot;??\ _z_ł_-;_-@_-"/>
    <numFmt numFmtId="166" formatCode="#,##0.00_ ;\-#,##0.00\ "/>
    <numFmt numFmtId="167" formatCode="0.0"/>
    <numFmt numFmtId="168" formatCode="_-* #,##0\ _z_ł_-;\-* #,##0\ _z_ł_-;_-* &quot;-&quot;??\ _z_ł_-;_-@_-"/>
    <numFmt numFmtId="169" formatCode="_-* #,##0\ _R_O_N_-;\-* #,##0\ _R_O_N_-;_-* &quot;-&quot;??\ _R_O_N_-;_-@_-"/>
  </numFmts>
  <fonts count="52">
    <font>
      <sz val="11"/>
      <color theme="1"/>
      <name val="Calibri"/>
      <family val="2"/>
      <charset val="238"/>
      <scheme val="minor"/>
    </font>
    <font>
      <sz val="11"/>
      <color theme="1"/>
      <name val="Calibri"/>
      <family val="2"/>
      <charset val="238"/>
      <scheme val="minor"/>
    </font>
    <font>
      <b/>
      <sz val="11"/>
      <color theme="0"/>
      <name val="Calibri"/>
      <family val="2"/>
      <scheme val="minor"/>
    </font>
    <font>
      <b/>
      <sz val="10"/>
      <name val="Calibri"/>
      <family val="2"/>
      <scheme val="minor"/>
    </font>
    <font>
      <b/>
      <sz val="11"/>
      <name val="Calibri"/>
      <family val="2"/>
      <scheme val="minor"/>
    </font>
    <font>
      <b/>
      <sz val="7"/>
      <name val="Lucida Sans"/>
      <family val="2"/>
    </font>
    <font>
      <b/>
      <strike/>
      <sz val="7"/>
      <name val="Lucida Sans"/>
      <family val="2"/>
    </font>
    <font>
      <sz val="11"/>
      <name val="Calibri"/>
      <family val="2"/>
      <scheme val="minor"/>
    </font>
    <font>
      <sz val="10"/>
      <name val="Calibri"/>
      <family val="2"/>
      <scheme val="minor"/>
    </font>
    <font>
      <sz val="8"/>
      <color theme="1"/>
      <name val="Calibri"/>
      <family val="2"/>
      <scheme val="minor"/>
    </font>
    <font>
      <b/>
      <sz val="9"/>
      <color indexed="81"/>
      <name val="Tahoma"/>
      <family val="2"/>
    </font>
    <font>
      <sz val="9"/>
      <color indexed="81"/>
      <name val="Tahoma"/>
      <family val="2"/>
    </font>
    <font>
      <sz val="9"/>
      <color indexed="81"/>
      <name val="Segoe UI"/>
      <family val="2"/>
      <charset val="238"/>
    </font>
    <font>
      <b/>
      <sz val="9"/>
      <color indexed="81"/>
      <name val="Segoe UI"/>
      <family val="2"/>
      <charset val="238"/>
    </font>
    <font>
      <sz val="11"/>
      <name val="Arial"/>
      <family val="2"/>
      <charset val="238"/>
    </font>
    <font>
      <b/>
      <sz val="10"/>
      <name val="Calibri"/>
      <family val="2"/>
      <charset val="238"/>
      <scheme val="minor"/>
    </font>
    <font>
      <b/>
      <sz val="8"/>
      <name val="Calibri"/>
      <family val="2"/>
      <charset val="238"/>
    </font>
    <font>
      <b/>
      <sz val="8"/>
      <name val="Lucida Sans"/>
      <family val="2"/>
    </font>
    <font>
      <b/>
      <sz val="7"/>
      <name val="Lucida Sans "/>
      <charset val="238"/>
    </font>
    <font>
      <b/>
      <sz val="7"/>
      <name val="Lucida Sans"/>
      <family val="2"/>
      <charset val="238"/>
    </font>
    <font>
      <sz val="8"/>
      <name val="Calibri"/>
      <family val="2"/>
      <scheme val="minor"/>
    </font>
    <font>
      <sz val="8"/>
      <name val="Calibri"/>
      <family val="2"/>
      <charset val="238"/>
      <scheme val="minor"/>
    </font>
    <font>
      <sz val="8"/>
      <name val="Lucida Sans"/>
      <family val="2"/>
    </font>
    <font>
      <sz val="8"/>
      <color rgb="FF222222"/>
      <name val="Calibri"/>
      <family val="2"/>
      <scheme val="minor"/>
    </font>
    <font>
      <sz val="8"/>
      <color theme="1"/>
      <name val="Calibri"/>
      <family val="2"/>
      <charset val="238"/>
      <scheme val="minor"/>
    </font>
    <font>
      <sz val="8"/>
      <name val="Calibri"/>
      <family val="2"/>
      <charset val="238"/>
    </font>
    <font>
      <sz val="8"/>
      <name val="Calibri"/>
      <family val="2"/>
    </font>
    <font>
      <sz val="8"/>
      <color rgb="FF000000"/>
      <name val="Calibri"/>
      <family val="2"/>
      <scheme val="minor"/>
    </font>
    <font>
      <b/>
      <sz val="7"/>
      <name val="Calibri"/>
      <family val="2"/>
      <scheme val="minor"/>
    </font>
    <font>
      <sz val="10"/>
      <name val="Calibri"/>
      <family val="2"/>
      <charset val="238"/>
      <scheme val="minor"/>
    </font>
    <font>
      <b/>
      <sz val="10"/>
      <color theme="0"/>
      <name val="Calibri"/>
      <family val="2"/>
      <charset val="238"/>
      <scheme val="minor"/>
    </font>
    <font>
      <b/>
      <sz val="10"/>
      <color rgb="FFFF0000"/>
      <name val="Calibri"/>
      <family val="2"/>
      <charset val="238"/>
      <scheme val="minor"/>
    </font>
    <font>
      <sz val="11"/>
      <color theme="1"/>
      <name val="Calibri"/>
      <family val="2"/>
      <scheme val="minor"/>
    </font>
    <font>
      <b/>
      <i/>
      <sz val="10"/>
      <name val="Calibri"/>
      <family val="2"/>
      <charset val="238"/>
      <scheme val="minor"/>
    </font>
    <font>
      <sz val="10"/>
      <color theme="1"/>
      <name val="Calibri"/>
      <family val="2"/>
      <scheme val="minor"/>
    </font>
    <font>
      <sz val="10"/>
      <color theme="0"/>
      <name val="Calibri"/>
      <family val="2"/>
      <charset val="238"/>
      <scheme val="minor"/>
    </font>
    <font>
      <b/>
      <sz val="7"/>
      <color theme="0"/>
      <name val="Calibri"/>
      <family val="2"/>
      <scheme val="minor"/>
    </font>
    <font>
      <b/>
      <sz val="7"/>
      <color theme="0"/>
      <name val="Calibri"/>
      <family val="2"/>
      <charset val="238"/>
      <scheme val="minor"/>
    </font>
    <font>
      <sz val="7"/>
      <color theme="0"/>
      <name val="Calibri"/>
      <family val="2"/>
      <scheme val="minor"/>
    </font>
    <font>
      <b/>
      <sz val="9"/>
      <color theme="0"/>
      <name val="Calibri"/>
      <family val="2"/>
      <scheme val="minor"/>
    </font>
    <font>
      <b/>
      <sz val="8"/>
      <color theme="0"/>
      <name val="Calibri"/>
      <family val="2"/>
      <scheme val="minor"/>
    </font>
    <font>
      <b/>
      <i/>
      <sz val="10"/>
      <color theme="0"/>
      <name val="Calibri"/>
      <family val="2"/>
      <charset val="238"/>
      <scheme val="minor"/>
    </font>
    <font>
      <b/>
      <sz val="11"/>
      <name val="Calibri"/>
      <family val="2"/>
      <charset val="238"/>
    </font>
    <font>
      <b/>
      <sz val="8.8000000000000007"/>
      <name val="Calibri"/>
      <family val="2"/>
    </font>
    <font>
      <b/>
      <sz val="9"/>
      <name val="Calibri"/>
      <family val="2"/>
      <scheme val="minor"/>
    </font>
    <font>
      <b/>
      <sz val="11"/>
      <name val="Calibri"/>
      <family val="2"/>
    </font>
    <font>
      <sz val="10"/>
      <name val="Calibri"/>
      <family val="2"/>
      <charset val="238"/>
    </font>
    <font>
      <sz val="10"/>
      <name val="Calibri"/>
      <family val="2"/>
    </font>
    <font>
      <sz val="11"/>
      <name val="Calibri"/>
      <family val="2"/>
      <charset val="238"/>
    </font>
    <font>
      <sz val="11"/>
      <name val="Calibri"/>
      <family val="2"/>
    </font>
    <font>
      <sz val="11"/>
      <name val="Calibri"/>
      <family val="2"/>
      <charset val="238"/>
      <scheme val="minor"/>
    </font>
    <font>
      <b/>
      <sz val="11"/>
      <name val="Calibri"/>
      <family val="2"/>
      <charset val="238"/>
      <scheme val="minor"/>
    </font>
  </fonts>
  <fills count="6">
    <fill>
      <patternFill patternType="none"/>
    </fill>
    <fill>
      <patternFill patternType="gray125"/>
    </fill>
    <fill>
      <patternFill patternType="solid">
        <fgColor theme="4"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s>
  <borders count="120">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bottom/>
      <diagonal/>
    </border>
    <border>
      <left style="medium">
        <color rgb="FF0070C0"/>
      </left>
      <right style="medium">
        <color rgb="FF0070C0"/>
      </right>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thin">
        <color rgb="FF0070C0"/>
      </left>
      <right/>
      <top style="thin">
        <color rgb="FF0070C0"/>
      </top>
      <bottom/>
      <diagonal/>
    </border>
    <border>
      <left style="thin">
        <color rgb="FF0070C0"/>
      </left>
      <right style="thin">
        <color theme="4"/>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medium">
        <color rgb="FF0070C0"/>
      </bottom>
      <diagonal/>
    </border>
    <border>
      <left style="thin">
        <color rgb="FF0070C0"/>
      </left>
      <right/>
      <top/>
      <bottom style="thin">
        <color rgb="FF0070C0"/>
      </bottom>
      <diagonal/>
    </border>
    <border>
      <left style="medium">
        <color rgb="FF0070C0"/>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medium">
        <color indexed="64"/>
      </right>
      <top style="medium">
        <color indexed="64"/>
      </top>
      <bottom style="medium">
        <color rgb="FF0070C0"/>
      </bottom>
      <diagonal/>
    </border>
    <border>
      <left style="medium">
        <color indexed="64"/>
      </left>
      <right style="thin">
        <color rgb="FF0070C0"/>
      </right>
      <top style="thin">
        <color rgb="FF0070C0"/>
      </top>
      <bottom style="thin">
        <color rgb="FF0070C0"/>
      </bottom>
      <diagonal/>
    </border>
    <border>
      <left style="thin">
        <color rgb="FF0070C0"/>
      </left>
      <right style="medium">
        <color indexed="64"/>
      </right>
      <top style="thin">
        <color rgb="FF0070C0"/>
      </top>
      <bottom/>
      <diagonal/>
    </border>
    <border>
      <left style="medium">
        <color indexed="64"/>
      </left>
      <right style="thin">
        <color rgb="FF0070C0"/>
      </right>
      <top style="thin">
        <color rgb="FF0070C0"/>
      </top>
      <bottom/>
      <diagonal/>
    </border>
    <border>
      <left style="medium">
        <color indexed="64"/>
      </left>
      <right style="thin">
        <color rgb="FF0070C0"/>
      </right>
      <top style="thin">
        <color rgb="FF0070C0"/>
      </top>
      <bottom style="medium">
        <color rgb="FF0070C0"/>
      </bottom>
      <diagonal/>
    </border>
    <border>
      <left/>
      <right style="medium">
        <color indexed="64"/>
      </right>
      <top style="medium">
        <color rgb="FF0070C0"/>
      </top>
      <bottom style="thin">
        <color rgb="FF0070C0"/>
      </bottom>
      <diagonal/>
    </border>
    <border>
      <left style="medium">
        <color indexed="64"/>
      </left>
      <right style="thin">
        <color rgb="FF0070C0"/>
      </right>
      <top style="thin">
        <color rgb="FF0070C0"/>
      </top>
      <bottom style="medium">
        <color indexed="64"/>
      </bottom>
      <diagonal/>
    </border>
    <border>
      <left style="thin">
        <color rgb="FF0070C0"/>
      </left>
      <right style="thin">
        <color rgb="FF0070C0"/>
      </right>
      <top style="thin">
        <color rgb="FF0070C0"/>
      </top>
      <bottom style="medium">
        <color indexed="64"/>
      </bottom>
      <diagonal/>
    </border>
    <border>
      <left style="thin">
        <color rgb="FF0070C0"/>
      </left>
      <right/>
      <top style="thin">
        <color rgb="FF0070C0"/>
      </top>
      <bottom style="medium">
        <color indexed="64"/>
      </bottom>
      <diagonal/>
    </border>
    <border>
      <left style="thin">
        <color rgb="FF0070C0"/>
      </left>
      <right style="medium">
        <color rgb="FF0070C0"/>
      </right>
      <top style="thin">
        <color rgb="FF0070C0"/>
      </top>
      <bottom style="medium">
        <color indexed="64"/>
      </bottom>
      <diagonal/>
    </border>
    <border>
      <left style="thin">
        <color rgb="FF0070C0"/>
      </left>
      <right style="medium">
        <color indexed="64"/>
      </right>
      <top style="thin">
        <color rgb="FF0070C0"/>
      </top>
      <bottom style="medium">
        <color indexed="64"/>
      </bottom>
      <diagonal/>
    </border>
    <border>
      <left/>
      <right/>
      <top style="medium">
        <color indexed="64"/>
      </top>
      <bottom style="medium">
        <color rgb="FF0070C0"/>
      </bottom>
      <diagonal/>
    </border>
    <border>
      <left/>
      <right/>
      <top style="medium">
        <color rgb="FF0070C0"/>
      </top>
      <bottom style="thin">
        <color rgb="FF0070C0"/>
      </bottom>
      <diagonal/>
    </border>
    <border>
      <left style="medium">
        <color indexed="64"/>
      </left>
      <right/>
      <top style="medium">
        <color indexed="64"/>
      </top>
      <bottom/>
      <diagonal/>
    </border>
    <border>
      <left style="medium">
        <color indexed="64"/>
      </left>
      <right/>
      <top style="medium">
        <color rgb="FF0070C0"/>
      </top>
      <bottom/>
      <diagonal/>
    </border>
    <border>
      <left style="thin">
        <color rgb="FF0070C0"/>
      </left>
      <right style="thin">
        <color rgb="FF0070C0"/>
      </right>
      <top/>
      <bottom style="thin">
        <color rgb="FF0070C0"/>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70C0"/>
      </right>
      <top style="thin">
        <color rgb="FF0070C0"/>
      </top>
      <bottom/>
      <diagonal/>
    </border>
    <border>
      <left/>
      <right/>
      <top/>
      <bottom style="thin">
        <color rgb="FF0070C0"/>
      </bottom>
      <diagonal/>
    </border>
    <border>
      <left/>
      <right/>
      <top style="thin">
        <color rgb="FF0070C0"/>
      </top>
      <bottom/>
      <diagonal/>
    </border>
    <border>
      <left/>
      <right style="medium">
        <color indexed="64"/>
      </right>
      <top/>
      <bottom/>
      <diagonal/>
    </border>
    <border>
      <left style="medium">
        <color indexed="64"/>
      </left>
      <right/>
      <top style="medium">
        <color rgb="FF0070C0"/>
      </top>
      <bottom style="thin">
        <color rgb="FF0070C0"/>
      </bottom>
      <diagonal/>
    </border>
    <border>
      <left style="medium">
        <color indexed="64"/>
      </left>
      <right/>
      <top style="thin">
        <color rgb="FF0070C0"/>
      </top>
      <bottom style="thin">
        <color rgb="FF0070C0"/>
      </bottom>
      <diagonal/>
    </border>
    <border>
      <left style="medium">
        <color indexed="64"/>
      </left>
      <right/>
      <top style="thin">
        <color rgb="FF0070C0"/>
      </top>
      <bottom/>
      <diagonal/>
    </border>
    <border>
      <left style="medium">
        <color indexed="64"/>
      </left>
      <right/>
      <top style="thin">
        <color rgb="FF0070C0"/>
      </top>
      <bottom style="medium">
        <color rgb="FF0070C0"/>
      </bottom>
      <diagonal/>
    </border>
    <border>
      <left style="medium">
        <color indexed="64"/>
      </left>
      <right/>
      <top style="thin">
        <color rgb="FF0070C0"/>
      </top>
      <bottom style="medium">
        <color indexed="64"/>
      </bottom>
      <diagonal/>
    </border>
    <border>
      <left/>
      <right style="thin">
        <color rgb="FF0070C0"/>
      </right>
      <top style="thin">
        <color rgb="FF0070C0"/>
      </top>
      <bottom style="medium">
        <color rgb="FF0070C0"/>
      </bottom>
      <diagonal/>
    </border>
    <border>
      <left/>
      <right style="thin">
        <color rgb="FF0070C0"/>
      </right>
      <top style="thin">
        <color rgb="FF0070C0"/>
      </top>
      <bottom style="medium">
        <color indexed="64"/>
      </bottom>
      <diagonal/>
    </border>
    <border>
      <left style="medium">
        <color indexed="64"/>
      </left>
      <right style="thin">
        <color rgb="FF0070C0"/>
      </right>
      <top/>
      <bottom style="thin">
        <color rgb="FF0070C0"/>
      </bottom>
      <diagonal/>
    </border>
    <border>
      <left style="thin">
        <color rgb="FF0070C0"/>
      </left>
      <right style="medium">
        <color indexed="64"/>
      </right>
      <top/>
      <bottom style="thin">
        <color rgb="FF0070C0"/>
      </bottom>
      <diagonal/>
    </border>
    <border>
      <left style="thin">
        <color rgb="FF0070C0"/>
      </left>
      <right style="medium">
        <color indexed="64"/>
      </right>
      <top style="thin">
        <color rgb="FF0070C0"/>
      </top>
      <bottom style="thin">
        <color rgb="FF0070C0"/>
      </bottom>
      <diagonal/>
    </border>
    <border>
      <left/>
      <right style="medium">
        <color indexed="64"/>
      </right>
      <top style="thin">
        <color rgb="FF0070C0"/>
      </top>
      <bottom style="thin">
        <color rgb="FF0070C0"/>
      </bottom>
      <diagonal/>
    </border>
    <border>
      <left style="medium">
        <color indexed="64"/>
      </left>
      <right/>
      <top style="medium">
        <color indexed="64"/>
      </top>
      <bottom style="medium">
        <color rgb="FF0070C0"/>
      </bottom>
      <diagonal/>
    </border>
    <border>
      <left/>
      <right style="medium">
        <color rgb="FF0070C0"/>
      </right>
      <top style="thin">
        <color rgb="FF0070C0"/>
      </top>
      <bottom style="thin">
        <color rgb="FF0070C0"/>
      </bottom>
      <diagonal/>
    </border>
    <border>
      <left/>
      <right style="medium">
        <color rgb="FF0070C0"/>
      </right>
      <top style="thin">
        <color rgb="FF0070C0"/>
      </top>
      <bottom/>
      <diagonal/>
    </border>
    <border>
      <left/>
      <right style="medium">
        <color rgb="FF0070C0"/>
      </right>
      <top style="thin">
        <color rgb="FF0070C0"/>
      </top>
      <bottom style="medium">
        <color rgb="FF0070C0"/>
      </bottom>
      <diagonal/>
    </border>
    <border>
      <left/>
      <right style="medium">
        <color rgb="FF0070C0"/>
      </right>
      <top style="thin">
        <color rgb="FF0070C0"/>
      </top>
      <bottom style="medium">
        <color indexed="64"/>
      </bottom>
      <diagonal/>
    </border>
    <border>
      <left style="medium">
        <color indexed="64"/>
      </left>
      <right style="medium">
        <color rgb="FF0070C0"/>
      </right>
      <top style="thin">
        <color rgb="FF0070C0"/>
      </top>
      <bottom style="thin">
        <color rgb="FF0070C0"/>
      </bottom>
      <diagonal/>
    </border>
    <border>
      <left style="medium">
        <color indexed="64"/>
      </left>
      <right style="medium">
        <color rgb="FF0070C0"/>
      </right>
      <top style="thin">
        <color rgb="FF0070C0"/>
      </top>
      <bottom/>
      <diagonal/>
    </border>
    <border>
      <left style="thin">
        <color rgb="FF0070C0"/>
      </left>
      <right style="medium">
        <color indexed="64"/>
      </right>
      <top style="thin">
        <color rgb="FF0070C0"/>
      </top>
      <bottom style="medium">
        <color rgb="FF0070C0"/>
      </bottom>
      <diagonal/>
    </border>
    <border>
      <left style="medium">
        <color indexed="64"/>
      </left>
      <right style="medium">
        <color rgb="FF0070C0"/>
      </right>
      <top style="thin">
        <color rgb="FF0070C0"/>
      </top>
      <bottom style="medium">
        <color rgb="FF0070C0"/>
      </bottom>
      <diagonal/>
    </border>
    <border>
      <left style="medium">
        <color indexed="64"/>
      </left>
      <right style="medium">
        <color rgb="FF0070C0"/>
      </right>
      <top style="thin">
        <color rgb="FF0070C0"/>
      </top>
      <bottom style="medium">
        <color indexed="64"/>
      </bottom>
      <diagonal/>
    </border>
    <border>
      <left style="medium">
        <color indexed="64"/>
      </left>
      <right/>
      <top/>
      <bottom style="thin">
        <color rgb="FF0070C0"/>
      </bottom>
      <diagonal/>
    </border>
    <border>
      <left/>
      <right style="medium">
        <color indexed="64"/>
      </right>
      <top/>
      <bottom style="thin">
        <color rgb="FF0070C0"/>
      </bottom>
      <diagonal/>
    </border>
    <border>
      <left/>
      <right/>
      <top style="thin">
        <color rgb="FF0070C0"/>
      </top>
      <bottom style="thin">
        <color rgb="FF0070C0"/>
      </bottom>
      <diagonal/>
    </border>
    <border>
      <left style="medium">
        <color indexed="64"/>
      </left>
      <right style="medium">
        <color rgb="FF0070C0"/>
      </right>
      <top/>
      <bottom/>
      <diagonal/>
    </border>
    <border>
      <left style="medium">
        <color indexed="64"/>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top style="medium">
        <color rgb="FF0070C0"/>
      </top>
      <bottom style="medium">
        <color rgb="FF0070C0"/>
      </bottom>
      <diagonal/>
    </border>
    <border>
      <left style="medium">
        <color rgb="FF0070C0"/>
      </left>
      <right style="thin">
        <color rgb="FF0070C0"/>
      </right>
      <top style="medium">
        <color rgb="FF0070C0"/>
      </top>
      <bottom/>
      <diagonal/>
    </border>
    <border>
      <left/>
      <right style="thin">
        <color rgb="FF0070C0"/>
      </right>
      <top style="medium">
        <color rgb="FF0070C0"/>
      </top>
      <bottom style="medium">
        <color rgb="FF0070C0"/>
      </bottom>
      <diagonal/>
    </border>
    <border>
      <left/>
      <right style="thin">
        <color rgb="FF0070C0"/>
      </right>
      <top style="medium">
        <color rgb="FF0070C0"/>
      </top>
      <bottom/>
      <diagonal/>
    </border>
    <border>
      <left/>
      <right/>
      <top style="medium">
        <color rgb="FF0070C0"/>
      </top>
      <bottom style="medium">
        <color rgb="FF0070C0"/>
      </bottom>
      <diagonal/>
    </border>
    <border>
      <left style="thin">
        <color indexed="64"/>
      </left>
      <right style="thin">
        <color indexed="64"/>
      </right>
      <top style="thin">
        <color indexed="64"/>
      </top>
      <bottom style="thin">
        <color indexed="64"/>
      </bottom>
      <diagonal/>
    </border>
    <border>
      <left style="thin">
        <color rgb="FF0070C0"/>
      </left>
      <right style="medium">
        <color rgb="FF0070C0"/>
      </right>
      <top/>
      <bottom style="thin">
        <color rgb="FF0070C0"/>
      </bottom>
      <diagonal/>
    </border>
    <border>
      <left/>
      <right style="thin">
        <color rgb="FF0070C0"/>
      </right>
      <top/>
      <bottom style="thin">
        <color rgb="FF0070C0"/>
      </bottom>
      <diagonal/>
    </border>
    <border>
      <left/>
      <right style="medium">
        <color rgb="FF0070C0"/>
      </right>
      <top/>
      <bottom style="thin">
        <color rgb="FF0070C0"/>
      </bottom>
      <diagonal/>
    </border>
    <border>
      <left style="thin">
        <color rgb="FF0070C0"/>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70C0"/>
      </right>
      <top/>
      <bottom style="thin">
        <color rgb="FF0070C0"/>
      </bottom>
      <diagonal/>
    </border>
    <border>
      <left style="thin">
        <color rgb="FF0070C0"/>
      </left>
      <right style="thin">
        <color indexed="64"/>
      </right>
      <top/>
      <bottom style="thin">
        <color rgb="FF0070C0"/>
      </bottom>
      <diagonal/>
    </border>
    <border>
      <left style="thin">
        <color indexed="64"/>
      </left>
      <right/>
      <top style="thin">
        <color rgb="FF0070C0"/>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top style="thin">
        <color rgb="FF0070C0"/>
      </top>
      <bottom/>
      <diagonal/>
    </border>
    <border>
      <left style="thin">
        <color rgb="FF0070C0"/>
      </left>
      <right style="thin">
        <color indexed="64"/>
      </right>
      <top style="thin">
        <color rgb="FF0070C0"/>
      </top>
      <bottom/>
      <diagonal/>
    </border>
    <border>
      <left style="thin">
        <color indexed="64"/>
      </left>
      <right style="thin">
        <color rgb="FF0070C0"/>
      </right>
      <top style="thin">
        <color rgb="FF0070C0"/>
      </top>
      <bottom style="medium">
        <color indexed="64"/>
      </bottom>
      <diagonal/>
    </border>
    <border>
      <left style="thin">
        <color rgb="FF0070C0"/>
      </left>
      <right style="thin">
        <color indexed="64"/>
      </right>
      <top style="thin">
        <color rgb="FF0070C0"/>
      </top>
      <bottom style="medium">
        <color indexed="64"/>
      </bottom>
      <diagonal/>
    </border>
    <border>
      <left style="thin">
        <color indexed="64"/>
      </left>
      <right style="thin">
        <color rgb="FF0070C0"/>
      </right>
      <top style="thin">
        <color rgb="FF0070C0"/>
      </top>
      <bottom style="thin">
        <color rgb="FF0070C0"/>
      </bottom>
      <diagonal/>
    </border>
    <border>
      <left style="thin">
        <color indexed="64"/>
      </left>
      <right style="thin">
        <color rgb="FF0070C0"/>
      </right>
      <top style="thin">
        <color rgb="FF0070C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rgb="FF0070C0"/>
      </top>
      <bottom/>
      <diagonal/>
    </border>
    <border>
      <left/>
      <right style="thin">
        <color rgb="FF0070C0"/>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diagonal/>
    </border>
    <border>
      <left style="thin">
        <color rgb="FF0070C0"/>
      </left>
      <right style="medium">
        <color rgb="FF0070C0"/>
      </right>
      <top style="medium">
        <color rgb="FF0070C0"/>
      </top>
      <bottom style="medium">
        <color rgb="FF0070C0"/>
      </bottom>
      <diagonal/>
    </border>
    <border>
      <left style="thin">
        <color rgb="FF0070C0"/>
      </left>
      <right/>
      <top style="medium">
        <color rgb="FF0070C0"/>
      </top>
      <bottom/>
      <diagonal/>
    </border>
    <border>
      <left style="thin">
        <color rgb="FF0070C0"/>
      </left>
      <right style="medium">
        <color rgb="FF0070C0"/>
      </right>
      <top style="medium">
        <color rgb="FF0070C0"/>
      </top>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diagonal/>
    </border>
    <border>
      <left style="thin">
        <color theme="8"/>
      </left>
      <right style="thin">
        <color theme="8"/>
      </right>
      <top style="thin">
        <color theme="8"/>
      </top>
      <bottom style="thin">
        <color theme="8"/>
      </bottom>
      <diagonal/>
    </border>
    <border>
      <left style="thin">
        <color rgb="FF0070C0"/>
      </left>
      <right style="thin">
        <color rgb="FF0070C0"/>
      </right>
      <top style="thin">
        <color theme="8"/>
      </top>
      <bottom style="thin">
        <color theme="8"/>
      </bottom>
      <diagonal/>
    </border>
    <border>
      <left style="thin">
        <color rgb="FF0070C0"/>
      </left>
      <right style="thin">
        <color theme="8"/>
      </right>
      <top style="thin">
        <color theme="8"/>
      </top>
      <bottom style="thin">
        <color theme="8"/>
      </bottom>
      <diagonal/>
    </border>
    <border>
      <left/>
      <right style="thin">
        <color rgb="FF0070C0"/>
      </right>
      <top style="thin">
        <color theme="8"/>
      </top>
      <bottom style="thin">
        <color theme="8"/>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14" fillId="0" borderId="0"/>
    <xf numFmtId="165" fontId="14" fillId="0" borderId="0" applyFont="0" applyFill="0" applyBorder="0" applyAlignment="0" applyProtection="0"/>
    <xf numFmtId="9" fontId="32" fillId="0" borderId="0" applyFont="0" applyFill="0" applyBorder="0" applyAlignment="0" applyProtection="0"/>
    <xf numFmtId="0" fontId="32" fillId="0" borderId="0"/>
  </cellStyleXfs>
  <cellXfs count="400">
    <xf numFmtId="0" fontId="0" fillId="0" borderId="0" xfId="0"/>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7" fillId="0" borderId="0" xfId="0" applyFont="1" applyFill="1" applyBorder="1" applyAlignment="1">
      <alignment horizontal="left" vertical="center" wrapText="1"/>
    </xf>
    <xf numFmtId="167" fontId="7" fillId="0" borderId="0" xfId="0" applyNumberFormat="1" applyFont="1" applyBorder="1"/>
    <xf numFmtId="0" fontId="0" fillId="0" borderId="0" xfId="0" applyBorder="1"/>
    <xf numFmtId="0" fontId="0" fillId="0" borderId="0" xfId="0" applyAlignment="1">
      <alignment horizontal="center" vertical="center"/>
    </xf>
    <xf numFmtId="167" fontId="0" fillId="0" borderId="0" xfId="0" applyNumberFormat="1"/>
    <xf numFmtId="167" fontId="7" fillId="0" borderId="0" xfId="0" applyNumberFormat="1" applyFont="1" applyBorder="1" applyAlignment="1">
      <alignment horizontal="left" vertical="center"/>
    </xf>
    <xf numFmtId="0" fontId="20" fillId="0" borderId="12" xfId="2" applyFont="1" applyBorder="1" applyAlignment="1">
      <alignment horizontal="center" vertical="center" wrapText="1"/>
    </xf>
    <xf numFmtId="0" fontId="20" fillId="0" borderId="1" xfId="0" applyFont="1" applyBorder="1" applyAlignment="1">
      <alignment horizontal="center" vertical="center"/>
    </xf>
    <xf numFmtId="0" fontId="20" fillId="0" borderId="12" xfId="2" applyFont="1" applyBorder="1" applyAlignment="1">
      <alignment horizontal="center"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0" borderId="10" xfId="2" applyFont="1" applyBorder="1" applyAlignment="1">
      <alignment horizontal="center" vertical="center" wrapText="1"/>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1" fillId="0" borderId="6"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10" xfId="0" applyFont="1" applyBorder="1" applyAlignment="1">
      <alignment horizontal="center" vertical="center"/>
    </xf>
    <xf numFmtId="3" fontId="20" fillId="0" borderId="11" xfId="2" applyNumberFormat="1" applyFont="1" applyBorder="1" applyAlignment="1">
      <alignment horizontal="center" vertical="center" wrapText="1"/>
    </xf>
    <xf numFmtId="0" fontId="9" fillId="0" borderId="6" xfId="0" applyFont="1" applyBorder="1" applyAlignment="1">
      <alignment horizontal="left" vertical="center" wrapText="1"/>
    </xf>
    <xf numFmtId="0" fontId="20"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left" vertical="center"/>
    </xf>
    <xf numFmtId="3" fontId="20" fillId="0" borderId="12" xfId="2" applyNumberFormat="1" applyFont="1" applyBorder="1" applyAlignment="1">
      <alignment horizontal="center" vertical="center" wrapText="1"/>
    </xf>
    <xf numFmtId="0" fontId="20" fillId="0" borderId="14" xfId="0" applyFont="1" applyBorder="1" applyAlignment="1">
      <alignment horizontal="center" vertical="center" wrapText="1"/>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0" xfId="0" applyFont="1" applyFill="1" applyBorder="1" applyAlignment="1">
      <alignment vertical="center"/>
    </xf>
    <xf numFmtId="0" fontId="23" fillId="0" borderId="0" xfId="0" applyFont="1" applyBorder="1" applyAlignment="1">
      <alignment wrapText="1"/>
    </xf>
    <xf numFmtId="0" fontId="24" fillId="0" borderId="0" xfId="0" applyFont="1" applyBorder="1"/>
    <xf numFmtId="0" fontId="20" fillId="0" borderId="22" xfId="0" applyFont="1" applyBorder="1" applyAlignment="1">
      <alignment horizontal="center" vertical="center"/>
    </xf>
    <xf numFmtId="0" fontId="23" fillId="0" borderId="0" xfId="0" applyFont="1" applyBorder="1" applyAlignment="1">
      <alignment horizontal="center" vertical="center" wrapText="1"/>
    </xf>
    <xf numFmtId="0" fontId="27" fillId="0" borderId="0" xfId="0" applyFont="1" applyBorder="1" applyAlignment="1">
      <alignment horizontal="center" wrapText="1"/>
    </xf>
    <xf numFmtId="167" fontId="20" fillId="0" borderId="27" xfId="0" applyNumberFormat="1" applyFont="1" applyBorder="1" applyAlignment="1">
      <alignment horizontal="center" vertical="center"/>
    </xf>
    <xf numFmtId="2" fontId="20" fillId="0" borderId="28" xfId="2" applyNumberFormat="1" applyFont="1" applyBorder="1" applyAlignment="1">
      <alignment horizontal="center" vertical="center" wrapText="1"/>
    </xf>
    <xf numFmtId="167" fontId="20" fillId="0" borderId="29" xfId="0" applyNumberFormat="1" applyFont="1" applyBorder="1" applyAlignment="1">
      <alignment horizontal="center" vertical="center"/>
    </xf>
    <xf numFmtId="0" fontId="9" fillId="0" borderId="29" xfId="0" applyFont="1" applyBorder="1" applyAlignment="1">
      <alignment horizontal="left" vertical="center" wrapText="1"/>
    </xf>
    <xf numFmtId="167" fontId="20" fillId="0" borderId="29" xfId="0" applyNumberFormat="1" applyFont="1" applyBorder="1" applyAlignment="1">
      <alignment horizontal="center" vertical="center" wrapText="1"/>
    </xf>
    <xf numFmtId="0" fontId="9" fillId="0" borderId="29" xfId="0" applyFont="1" applyBorder="1" applyAlignment="1">
      <alignment horizontal="center" vertical="center" wrapText="1"/>
    </xf>
    <xf numFmtId="167" fontId="20" fillId="0" borderId="30" xfId="0" applyNumberFormat="1" applyFont="1" applyBorder="1" applyAlignment="1">
      <alignment horizontal="center" vertical="center"/>
    </xf>
    <xf numFmtId="167" fontId="20" fillId="0" borderId="28" xfId="0" applyNumberFormat="1" applyFont="1" applyBorder="1" applyAlignment="1">
      <alignment horizontal="center" vertical="center"/>
    </xf>
    <xf numFmtId="0" fontId="2" fillId="3" borderId="33" xfId="0" applyFont="1" applyFill="1" applyBorder="1" applyAlignment="1">
      <alignment horizontal="left" vertical="center"/>
    </xf>
    <xf numFmtId="0" fontId="2" fillId="3" borderId="34" xfId="0" applyFont="1" applyFill="1" applyBorder="1" applyAlignment="1">
      <alignment horizontal="left" vertical="center"/>
    </xf>
    <xf numFmtId="0" fontId="4" fillId="4" borderId="35" xfId="0" applyFont="1" applyFill="1" applyBorder="1" applyAlignment="1">
      <alignment horizontal="center" vertical="center"/>
    </xf>
    <xf numFmtId="0" fontId="9"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2" xfId="0" applyFont="1" applyBorder="1" applyAlignment="1">
      <alignment horizontal="center" vertical="center"/>
    </xf>
    <xf numFmtId="0" fontId="20" fillId="0" borderId="10" xfId="0" applyFont="1" applyBorder="1" applyAlignment="1">
      <alignment horizontal="center" vertical="center" wrapText="1"/>
    </xf>
    <xf numFmtId="0" fontId="20" fillId="0" borderId="13" xfId="0" applyFont="1" applyBorder="1" applyAlignment="1">
      <alignment horizontal="center" vertical="center"/>
    </xf>
    <xf numFmtId="0" fontId="20" fillId="0" borderId="41" xfId="0" applyFont="1" applyBorder="1" applyAlignment="1">
      <alignment horizontal="center" vertical="center"/>
    </xf>
    <xf numFmtId="0" fontId="9" fillId="0" borderId="41" xfId="0" applyFont="1" applyBorder="1" applyAlignment="1">
      <alignment horizontal="left"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20" fillId="0" borderId="0" xfId="0" applyFont="1" applyBorder="1" applyAlignment="1">
      <alignment horizontal="center" vertical="center" wrapText="1"/>
    </xf>
    <xf numFmtId="0" fontId="9" fillId="0" borderId="7" xfId="0" applyFont="1" applyBorder="1" applyAlignment="1">
      <alignment horizontal="center" vertical="center"/>
    </xf>
    <xf numFmtId="0" fontId="4" fillId="4" borderId="0" xfId="0" applyFont="1" applyFill="1" applyBorder="1" applyAlignment="1">
      <alignment horizontal="center" vertical="center"/>
    </xf>
    <xf numFmtId="0" fontId="22" fillId="0" borderId="12" xfId="0" applyFont="1" applyBorder="1" applyAlignment="1">
      <alignment horizontal="center" vertical="center"/>
    </xf>
    <xf numFmtId="0" fontId="21" fillId="0" borderId="2" xfId="0" applyFont="1" applyBorder="1" applyAlignment="1">
      <alignment horizontal="center" vertical="center"/>
    </xf>
    <xf numFmtId="0" fontId="20" fillId="0" borderId="12" xfId="0" applyFont="1" applyBorder="1" applyAlignment="1">
      <alignment horizontal="center" vertical="center" wrapText="1"/>
    </xf>
    <xf numFmtId="0" fontId="9" fillId="0" borderId="10" xfId="0" applyFont="1" applyBorder="1" applyAlignment="1">
      <alignment horizontal="left" vertical="center" wrapText="1"/>
    </xf>
    <xf numFmtId="0" fontId="20" fillId="0" borderId="43"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1" xfId="0" applyFont="1" applyBorder="1" applyAlignment="1">
      <alignment horizontal="center" vertical="center" wrapText="1"/>
    </xf>
    <xf numFmtId="0" fontId="2" fillId="2" borderId="16" xfId="0" applyFont="1" applyFill="1" applyBorder="1" applyAlignment="1">
      <alignment vertical="center"/>
    </xf>
    <xf numFmtId="0" fontId="8" fillId="0" borderId="46" xfId="0" applyFont="1" applyBorder="1" applyAlignment="1">
      <alignment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45" xfId="0" applyFont="1" applyBorder="1" applyAlignment="1">
      <alignment vertical="center" wrapText="1"/>
    </xf>
    <xf numFmtId="0" fontId="8" fillId="0" borderId="49" xfId="0" applyFont="1" applyBorder="1" applyAlignment="1">
      <alignment vertical="center" wrapText="1"/>
    </xf>
    <xf numFmtId="0" fontId="9" fillId="0" borderId="50" xfId="0" applyFont="1" applyBorder="1" applyAlignment="1">
      <alignment horizontal="center" vertical="center" wrapText="1"/>
    </xf>
    <xf numFmtId="167" fontId="20" fillId="0" borderId="51"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20" fillId="0" borderId="21" xfId="0" applyFont="1" applyBorder="1" applyAlignment="1">
      <alignment horizontal="center" vertical="center"/>
    </xf>
    <xf numFmtId="0" fontId="20" fillId="0" borderId="54" xfId="0" applyFont="1" applyBorder="1" applyAlignment="1">
      <alignment horizontal="center" vertical="center"/>
    </xf>
    <xf numFmtId="0" fontId="20" fillId="0" borderId="44" xfId="0" applyFont="1" applyBorder="1" applyAlignment="1">
      <alignment horizontal="center" vertical="center"/>
    </xf>
    <xf numFmtId="0" fontId="20" fillId="0" borderId="54" xfId="0" applyFont="1" applyBorder="1" applyAlignment="1">
      <alignment horizontal="center" vertical="center" wrapText="1"/>
    </xf>
    <xf numFmtId="167" fontId="20" fillId="0" borderId="26" xfId="0" applyNumberFormat="1" applyFont="1" applyBorder="1" applyAlignment="1">
      <alignment horizontal="center" vertical="center"/>
    </xf>
    <xf numFmtId="2" fontId="20" fillId="0" borderId="30" xfId="2" applyNumberFormat="1" applyFont="1" applyBorder="1" applyAlignment="1">
      <alignment horizontal="center" vertical="center" wrapText="1"/>
    </xf>
    <xf numFmtId="4" fontId="20" fillId="0" borderId="12" xfId="2" applyNumberFormat="1" applyFont="1" applyBorder="1" applyAlignment="1">
      <alignment horizontal="center" vertical="center"/>
    </xf>
    <xf numFmtId="0" fontId="20" fillId="0" borderId="54" xfId="2" applyFont="1" applyBorder="1" applyAlignment="1">
      <alignment horizontal="center" vertical="center"/>
    </xf>
    <xf numFmtId="0" fontId="20" fillId="0" borderId="22" xfId="2" applyFont="1" applyBorder="1" applyAlignment="1">
      <alignment horizontal="center" vertical="center" wrapText="1"/>
    </xf>
    <xf numFmtId="0" fontId="20" fillId="0" borderId="23" xfId="0" applyFont="1" applyBorder="1" applyAlignment="1">
      <alignment horizontal="center" vertical="center"/>
    </xf>
    <xf numFmtId="3" fontId="20" fillId="0" borderId="54" xfId="2" applyNumberFormat="1" applyFont="1" applyBorder="1" applyAlignment="1">
      <alignment horizontal="center" vertical="center"/>
    </xf>
    <xf numFmtId="0" fontId="20" fillId="0" borderId="24" xfId="0" applyFont="1" applyBorder="1" applyAlignment="1">
      <alignment horizontal="center" vertical="center" wrapText="1"/>
    </xf>
    <xf numFmtId="0" fontId="21" fillId="0" borderId="12" xfId="2" applyFont="1" applyBorder="1" applyAlignment="1">
      <alignment horizontal="center" vertical="center"/>
    </xf>
    <xf numFmtId="0" fontId="21" fillId="0" borderId="12" xfId="2" applyFont="1" applyBorder="1" applyAlignment="1">
      <alignment horizontal="center" vertical="center" wrapText="1"/>
    </xf>
    <xf numFmtId="0" fontId="21" fillId="0" borderId="14" xfId="2" applyFont="1" applyBorder="1" applyAlignment="1">
      <alignment horizontal="center" vertical="center" wrapText="1"/>
    </xf>
    <xf numFmtId="0" fontId="20" fillId="0" borderId="50" xfId="0" applyFont="1" applyBorder="1" applyAlignment="1">
      <alignment horizontal="center" vertical="center" wrapText="1"/>
    </xf>
    <xf numFmtId="0" fontId="20" fillId="0" borderId="54" xfId="2" applyFont="1" applyBorder="1" applyAlignment="1">
      <alignment horizontal="center" vertical="center" wrapText="1"/>
    </xf>
    <xf numFmtId="0" fontId="20" fillId="0" borderId="55" xfId="2" applyFont="1" applyBorder="1" applyAlignment="1">
      <alignment horizontal="center" vertical="center"/>
    </xf>
    <xf numFmtId="3" fontId="20" fillId="0" borderId="55" xfId="2" applyNumberFormat="1" applyFont="1" applyBorder="1" applyAlignment="1">
      <alignment horizontal="center" vertical="center" wrapText="1"/>
    </xf>
    <xf numFmtId="0" fontId="9" fillId="0" borderId="24" xfId="0" applyFont="1" applyBorder="1" applyAlignment="1">
      <alignment horizontal="left" vertical="center" wrapText="1"/>
    </xf>
    <xf numFmtId="0" fontId="9" fillId="0" borderId="24" xfId="0" applyFont="1" applyBorder="1" applyAlignment="1">
      <alignment horizontal="center" vertical="center" wrapText="1"/>
    </xf>
    <xf numFmtId="0" fontId="21" fillId="0" borderId="10" xfId="2" applyFont="1" applyBorder="1" applyAlignment="1">
      <alignment horizontal="center"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9" fillId="0" borderId="59" xfId="0" applyFont="1" applyBorder="1" applyAlignment="1">
      <alignment horizontal="center" vertical="center" wrapText="1"/>
    </xf>
    <xf numFmtId="167" fontId="20" fillId="0" borderId="60" xfId="0" applyNumberFormat="1" applyFont="1" applyBorder="1" applyAlignment="1">
      <alignment horizontal="center" vertical="center"/>
    </xf>
    <xf numFmtId="0" fontId="20" fillId="0" borderId="61" xfId="0" applyFont="1" applyBorder="1" applyAlignment="1">
      <alignment horizontal="center" vertical="center"/>
    </xf>
    <xf numFmtId="0" fontId="21" fillId="0" borderId="54" xfId="2" applyFont="1" applyBorder="1" applyAlignment="1">
      <alignment horizontal="center" vertical="center"/>
    </xf>
    <xf numFmtId="0" fontId="21" fillId="0" borderId="54" xfId="2" applyFont="1" applyBorder="1" applyAlignment="1">
      <alignment horizontal="center" vertical="center" wrapText="1"/>
    </xf>
    <xf numFmtId="0" fontId="20" fillId="0" borderId="62" xfId="0" applyFont="1" applyBorder="1" applyAlignment="1">
      <alignment horizontal="center" vertical="center"/>
    </xf>
    <xf numFmtId="0" fontId="21" fillId="0" borderId="63" xfId="2" applyFont="1" applyBorder="1" applyAlignment="1">
      <alignment horizontal="center" vertical="center" wrapText="1"/>
    </xf>
    <xf numFmtId="0" fontId="9" fillId="0" borderId="64" xfId="0" applyFont="1" applyBorder="1" applyAlignment="1">
      <alignment horizontal="center" vertical="center" wrapText="1"/>
    </xf>
    <xf numFmtId="167" fontId="20" fillId="0" borderId="65" xfId="0" applyNumberFormat="1" applyFont="1" applyBorder="1" applyAlignment="1">
      <alignment horizontal="center" vertical="center"/>
    </xf>
    <xf numFmtId="0" fontId="9" fillId="0" borderId="64" xfId="0" applyFont="1" applyBorder="1" applyAlignment="1">
      <alignment horizontal="center" vertical="center"/>
    </xf>
    <xf numFmtId="3" fontId="20" fillId="0" borderId="54" xfId="2" applyNumberFormat="1" applyFont="1" applyBorder="1" applyAlignment="1">
      <alignment horizontal="center" vertical="center" wrapText="1"/>
    </xf>
    <xf numFmtId="0" fontId="21" fillId="0" borderId="57" xfId="0" applyFont="1" applyBorder="1" applyAlignment="1">
      <alignment horizontal="center" vertical="center"/>
    </xf>
    <xf numFmtId="0" fontId="20" fillId="0" borderId="43" xfId="0" applyFont="1" applyBorder="1" applyAlignment="1">
      <alignment horizontal="center" vertical="center"/>
    </xf>
    <xf numFmtId="0" fontId="15" fillId="4" borderId="44" xfId="2" applyFont="1" applyFill="1" applyBorder="1" applyAlignment="1">
      <alignment horizontal="center" vertical="center"/>
    </xf>
    <xf numFmtId="0" fontId="20" fillId="0" borderId="47" xfId="0" applyFont="1" applyBorder="1" applyAlignment="1">
      <alignment horizontal="center" vertical="center"/>
    </xf>
    <xf numFmtId="0" fontId="21" fillId="0" borderId="24" xfId="2" applyFont="1" applyBorder="1" applyAlignment="1">
      <alignment horizontal="center" vertical="center" wrapText="1"/>
    </xf>
    <xf numFmtId="0" fontId="9" fillId="0" borderId="59" xfId="0" applyFont="1" applyBorder="1" applyAlignment="1">
      <alignment horizontal="left" vertical="center" wrapText="1"/>
    </xf>
    <xf numFmtId="3" fontId="20" fillId="0" borderId="12" xfId="2" applyNumberFormat="1" applyFont="1" applyBorder="1" applyAlignment="1">
      <alignment horizontal="center" vertical="center"/>
    </xf>
    <xf numFmtId="0" fontId="20" fillId="0" borderId="57" xfId="0" applyFont="1" applyBorder="1" applyAlignment="1">
      <alignment horizontal="center" vertical="center" wrapText="1"/>
    </xf>
    <xf numFmtId="167" fontId="20" fillId="0" borderId="60" xfId="0" applyNumberFormat="1" applyFont="1" applyBorder="1" applyAlignment="1">
      <alignment horizontal="center" vertical="center" wrapText="1"/>
    </xf>
    <xf numFmtId="0" fontId="20" fillId="0" borderId="61" xfId="0" applyFont="1" applyBorder="1" applyAlignment="1">
      <alignment horizontal="center" vertical="center" wrapText="1"/>
    </xf>
    <xf numFmtId="4" fontId="20" fillId="0" borderId="54" xfId="2" applyNumberFormat="1" applyFont="1" applyBorder="1" applyAlignment="1">
      <alignment horizontal="center" vertical="center"/>
    </xf>
    <xf numFmtId="0" fontId="9" fillId="0" borderId="65" xfId="0" applyFont="1" applyBorder="1" applyAlignment="1">
      <alignment horizontal="left" vertical="center" wrapText="1"/>
    </xf>
    <xf numFmtId="0" fontId="9" fillId="0" borderId="30" xfId="0" applyFont="1" applyBorder="1" applyAlignment="1">
      <alignment horizontal="left" vertical="center" wrapText="1"/>
    </xf>
    <xf numFmtId="167" fontId="20" fillId="0" borderId="28" xfId="0" applyNumberFormat="1" applyFont="1" applyBorder="1" applyAlignment="1">
      <alignment horizontal="center" vertical="center" wrapText="1"/>
    </xf>
    <xf numFmtId="0" fontId="20" fillId="0" borderId="68" xfId="2" applyFont="1" applyBorder="1" applyAlignment="1">
      <alignment horizontal="center" vertical="center" wrapText="1"/>
    </xf>
    <xf numFmtId="0" fontId="9" fillId="0" borderId="60" xfId="0" applyFont="1" applyBorder="1" applyAlignment="1">
      <alignment horizontal="center" vertical="center" wrapText="1"/>
    </xf>
    <xf numFmtId="0" fontId="20" fillId="0" borderId="69" xfId="0" applyFont="1" applyBorder="1" applyAlignment="1">
      <alignment horizontal="center" vertical="center" wrapText="1"/>
    </xf>
    <xf numFmtId="0" fontId="9" fillId="0" borderId="28" xfId="0" applyFont="1" applyBorder="1" applyAlignment="1">
      <alignment horizontal="center" vertical="center" wrapText="1"/>
    </xf>
    <xf numFmtId="168" fontId="21" fillId="0" borderId="63" xfId="3" applyNumberFormat="1" applyFont="1" applyBorder="1" applyAlignment="1">
      <alignment horizontal="center" vertical="center" wrapText="1"/>
    </xf>
    <xf numFmtId="167" fontId="20" fillId="0" borderId="65" xfId="0" applyNumberFormat="1" applyFont="1" applyBorder="1" applyAlignment="1">
      <alignment horizontal="center" vertical="center" wrapText="1"/>
    </xf>
    <xf numFmtId="167" fontId="20" fillId="0" borderId="30" xfId="0" applyNumberFormat="1" applyFont="1" applyBorder="1" applyAlignment="1">
      <alignment horizontal="center" vertical="center" wrapText="1"/>
    </xf>
    <xf numFmtId="0" fontId="9" fillId="0" borderId="43" xfId="0" applyFont="1" applyBorder="1" applyAlignment="1">
      <alignment horizontal="center" vertical="center" wrapText="1"/>
    </xf>
    <xf numFmtId="0" fontId="9" fillId="0" borderId="64" xfId="0" applyFont="1" applyBorder="1" applyAlignment="1">
      <alignment horizontal="left" vertical="center" wrapText="1"/>
    </xf>
    <xf numFmtId="0" fontId="29" fillId="0" borderId="0" xfId="2" applyFont="1"/>
    <xf numFmtId="0" fontId="29" fillId="5" borderId="0" xfId="2" applyFont="1" applyFill="1" applyBorder="1"/>
    <xf numFmtId="0" fontId="30" fillId="3" borderId="73" xfId="2" applyFont="1" applyFill="1" applyBorder="1" applyAlignment="1">
      <alignment horizontal="left" vertical="center"/>
    </xf>
    <xf numFmtId="17" fontId="31" fillId="0" borderId="0" xfId="2" applyNumberFormat="1" applyFont="1"/>
    <xf numFmtId="0" fontId="29" fillId="5" borderId="0" xfId="2" applyFont="1" applyFill="1" applyBorder="1" applyAlignment="1">
      <alignment horizontal="center" vertical="center"/>
    </xf>
    <xf numFmtId="0" fontId="30" fillId="3" borderId="75" xfId="2" applyFont="1" applyFill="1" applyBorder="1" applyAlignment="1">
      <alignment horizontal="center" vertical="center"/>
    </xf>
    <xf numFmtId="167" fontId="29" fillId="0" borderId="0" xfId="2" applyNumberFormat="1" applyFont="1" applyBorder="1"/>
    <xf numFmtId="0" fontId="29" fillId="0" borderId="0" xfId="2" applyFont="1" applyBorder="1"/>
    <xf numFmtId="0" fontId="29" fillId="0" borderId="0" xfId="2" applyFont="1" applyAlignment="1">
      <alignment horizontal="center" vertical="center"/>
    </xf>
    <xf numFmtId="0" fontId="15" fillId="0" borderId="0" xfId="2" applyFont="1" applyAlignment="1">
      <alignment vertical="center"/>
    </xf>
    <xf numFmtId="0" fontId="29" fillId="0" borderId="0" xfId="2" applyFont="1" applyFill="1" applyBorder="1" applyAlignment="1">
      <alignment horizontal="left" vertical="center" wrapText="1"/>
    </xf>
    <xf numFmtId="17" fontId="29" fillId="0" borderId="0" xfId="2" applyNumberFormat="1" applyFont="1"/>
    <xf numFmtId="0" fontId="34" fillId="0" borderId="0" xfId="5" applyFont="1"/>
    <xf numFmtId="0" fontId="15" fillId="0" borderId="0" xfId="2" applyFont="1"/>
    <xf numFmtId="0" fontId="15" fillId="0" borderId="0" xfId="2" applyFont="1" applyFill="1" applyBorder="1" applyAlignment="1">
      <alignment horizontal="left" vertical="center" wrapText="1"/>
    </xf>
    <xf numFmtId="0" fontId="29" fillId="0" borderId="0" xfId="2" applyFont="1" applyBorder="1" applyAlignment="1">
      <alignment horizontal="center" vertical="center"/>
    </xf>
    <xf numFmtId="167" fontId="29" fillId="5" borderId="0" xfId="2" applyNumberFormat="1" applyFont="1" applyFill="1" applyBorder="1"/>
    <xf numFmtId="0" fontId="30" fillId="5" borderId="0" xfId="2" applyFont="1" applyFill="1" applyBorder="1" applyAlignment="1">
      <alignment horizontal="center" vertical="center"/>
    </xf>
    <xf numFmtId="0" fontId="30" fillId="3" borderId="18" xfId="2" applyFont="1" applyFill="1" applyBorder="1" applyAlignment="1">
      <alignment horizontal="center" vertical="center" wrapText="1"/>
    </xf>
    <xf numFmtId="0" fontId="4" fillId="4" borderId="70" xfId="0" applyFont="1" applyFill="1" applyBorder="1" applyAlignment="1">
      <alignment horizontal="center" vertical="center"/>
    </xf>
    <xf numFmtId="0" fontId="28" fillId="4" borderId="78"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53" xfId="2" applyFont="1" applyFill="1" applyBorder="1" applyAlignment="1">
      <alignment horizontal="center" vertical="center"/>
    </xf>
    <xf numFmtId="0" fontId="4" fillId="4" borderId="79" xfId="0" applyFont="1" applyFill="1" applyBorder="1" applyAlignment="1">
      <alignment horizontal="center" vertical="center"/>
    </xf>
    <xf numFmtId="0" fontId="15" fillId="4" borderId="15" xfId="2" applyFont="1" applyFill="1" applyBorder="1" applyAlignment="1">
      <alignment horizontal="center" vertical="center"/>
    </xf>
    <xf numFmtId="0" fontId="4" fillId="4" borderId="15" xfId="2" applyNumberFormat="1" applyFont="1" applyFill="1" applyBorder="1" applyAlignment="1">
      <alignment horizontal="center" vertical="center"/>
    </xf>
    <xf numFmtId="0" fontId="4" fillId="4" borderId="67" xfId="2" applyFont="1" applyFill="1" applyBorder="1" applyAlignment="1">
      <alignment horizontal="center" vertical="center"/>
    </xf>
    <xf numFmtId="0" fontId="15" fillId="4" borderId="53" xfId="2" applyFont="1" applyFill="1" applyBorder="1" applyAlignment="1">
      <alignment horizontal="center" vertical="center"/>
    </xf>
    <xf numFmtId="0" fontId="4" fillId="4" borderId="80"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15" xfId="0" applyFont="1" applyFill="1" applyBorder="1" applyAlignment="1">
      <alignment horizontal="center" vertical="center"/>
    </xf>
    <xf numFmtId="0" fontId="4" fillId="4" borderId="15" xfId="2" applyFont="1" applyFill="1" applyBorder="1" applyAlignment="1">
      <alignment horizontal="center" vertical="center"/>
    </xf>
    <xf numFmtId="0" fontId="5" fillId="4" borderId="80" xfId="0" applyFont="1" applyFill="1" applyBorder="1" applyAlignment="1">
      <alignment horizontal="left" vertical="center" wrapText="1"/>
    </xf>
    <xf numFmtId="0" fontId="5" fillId="4" borderId="7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78" xfId="0" applyFont="1" applyFill="1" applyBorder="1" applyAlignment="1">
      <alignment horizontal="center" vertical="center" wrapText="1"/>
    </xf>
    <xf numFmtId="0" fontId="19" fillId="4" borderId="15" xfId="0" applyFont="1" applyFill="1" applyBorder="1" applyAlignment="1">
      <alignment horizontal="left" vertical="center" wrapText="1"/>
    </xf>
    <xf numFmtId="2" fontId="4" fillId="4" borderId="70" xfId="0" applyNumberFormat="1" applyFont="1" applyFill="1" applyBorder="1" applyAlignment="1">
      <alignment horizontal="center" vertical="center"/>
    </xf>
    <xf numFmtId="2" fontId="4" fillId="4" borderId="15" xfId="0" applyNumberFormat="1" applyFont="1" applyFill="1" applyBorder="1" applyAlignment="1">
      <alignment horizontal="center" vertical="center"/>
    </xf>
    <xf numFmtId="1" fontId="4" fillId="4" borderId="80" xfId="0" applyNumberFormat="1" applyFont="1" applyFill="1" applyBorder="1" applyAlignment="1">
      <alignment horizontal="center" vertical="center"/>
    </xf>
    <xf numFmtId="1" fontId="4" fillId="4" borderId="15" xfId="0" applyNumberFormat="1"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15" xfId="0" applyFont="1" applyFill="1" applyBorder="1" applyAlignment="1">
      <alignment horizontal="center" vertical="center" wrapText="1"/>
    </xf>
    <xf numFmtId="1" fontId="30" fillId="3" borderId="75" xfId="2" applyNumberFormat="1" applyFont="1" applyFill="1" applyBorder="1" applyAlignment="1">
      <alignment horizontal="center" vertical="center"/>
    </xf>
    <xf numFmtId="169" fontId="30" fillId="3" borderId="75" xfId="1" applyNumberFormat="1" applyFont="1" applyFill="1" applyBorder="1" applyAlignment="1">
      <alignment horizontal="left" vertical="center"/>
    </xf>
    <xf numFmtId="169" fontId="30" fillId="3" borderId="75" xfId="2" applyNumberFormat="1" applyFont="1" applyFill="1" applyBorder="1" applyAlignment="1">
      <alignment horizontal="left" vertical="center"/>
    </xf>
    <xf numFmtId="169" fontId="30" fillId="3" borderId="75" xfId="1" applyNumberFormat="1" applyFont="1" applyFill="1" applyBorder="1" applyAlignment="1">
      <alignment horizontal="center" vertical="center"/>
    </xf>
    <xf numFmtId="1" fontId="30" fillId="3" borderId="75" xfId="1" applyNumberFormat="1" applyFont="1" applyFill="1" applyBorder="1" applyAlignment="1">
      <alignment horizontal="center" vertical="center"/>
    </xf>
    <xf numFmtId="3" fontId="30" fillId="3" borderId="75" xfId="2" applyNumberFormat="1" applyFont="1" applyFill="1" applyBorder="1" applyAlignment="1">
      <alignment horizontal="center" vertical="center"/>
    </xf>
    <xf numFmtId="167" fontId="30" fillId="3" borderId="75" xfId="2" applyNumberFormat="1" applyFont="1" applyFill="1" applyBorder="1" applyAlignment="1">
      <alignment horizontal="center" vertical="center"/>
    </xf>
    <xf numFmtId="0" fontId="29" fillId="0" borderId="0" xfId="2" applyFont="1" applyFill="1" applyBorder="1" applyAlignment="1">
      <alignment horizontal="left" vertical="center" wrapText="1"/>
    </xf>
    <xf numFmtId="3" fontId="30" fillId="3" borderId="75" xfId="1" applyNumberFormat="1" applyFont="1" applyFill="1" applyBorder="1" applyAlignment="1">
      <alignment horizontal="center" vertical="center"/>
    </xf>
    <xf numFmtId="0" fontId="33" fillId="0" borderId="0" xfId="2" applyFont="1" applyFill="1" applyBorder="1" applyAlignment="1">
      <alignment horizontal="center" vertical="center" wrapText="1"/>
    </xf>
    <xf numFmtId="0" fontId="20" fillId="0" borderId="69" xfId="0" applyFont="1" applyBorder="1" applyAlignment="1">
      <alignment horizontal="center" vertical="center" wrapText="1"/>
    </xf>
    <xf numFmtId="0" fontId="41" fillId="3" borderId="77" xfId="2" applyFont="1" applyFill="1" applyBorder="1" applyAlignment="1">
      <alignment horizontal="left" vertical="center" wrapText="1"/>
    </xf>
    <xf numFmtId="0" fontId="2" fillId="3" borderId="3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77" xfId="0" applyFont="1" applyFill="1" applyBorder="1" applyAlignment="1">
      <alignment horizontal="center" vertical="center"/>
    </xf>
    <xf numFmtId="169" fontId="2" fillId="3" borderId="77" xfId="1" applyNumberFormat="1" applyFont="1" applyFill="1" applyBorder="1" applyAlignment="1">
      <alignment horizontal="center" vertical="center"/>
    </xf>
    <xf numFmtId="2" fontId="2" fillId="3" borderId="77" xfId="0" applyNumberFormat="1" applyFont="1" applyFill="1" applyBorder="1" applyAlignment="1">
      <alignment horizontal="center" vertical="center"/>
    </xf>
    <xf numFmtId="0" fontId="2" fillId="2" borderId="82" xfId="0" applyFont="1" applyFill="1" applyBorder="1" applyAlignment="1">
      <alignment vertical="center"/>
    </xf>
    <xf numFmtId="0" fontId="2" fillId="2" borderId="83" xfId="0" applyFont="1" applyFill="1" applyBorder="1" applyAlignment="1">
      <alignment vertical="center"/>
    </xf>
    <xf numFmtId="0" fontId="4" fillId="4" borderId="86" xfId="0" applyFont="1" applyFill="1" applyBorder="1" applyAlignment="1">
      <alignment horizontal="center" vertical="center"/>
    </xf>
    <xf numFmtId="0" fontId="4" fillId="4" borderId="87" xfId="2" applyFont="1" applyFill="1" applyBorder="1" applyAlignment="1">
      <alignment horizontal="center" vertical="center"/>
    </xf>
    <xf numFmtId="0" fontId="20" fillId="0" borderId="88" xfId="0" applyFont="1" applyBorder="1" applyAlignment="1">
      <alignment horizontal="center" vertical="center"/>
    </xf>
    <xf numFmtId="0" fontId="20" fillId="0" borderId="89" xfId="2" applyFont="1" applyBorder="1" applyAlignment="1">
      <alignment horizontal="center" vertical="center"/>
    </xf>
    <xf numFmtId="0" fontId="20" fillId="0" borderId="90" xfId="0" applyFont="1" applyBorder="1" applyAlignment="1">
      <alignment horizontal="center" vertical="center"/>
    </xf>
    <xf numFmtId="0" fontId="20" fillId="0" borderId="91" xfId="2" applyFont="1" applyBorder="1" applyAlignment="1">
      <alignment horizontal="center" vertical="center" wrapText="1"/>
    </xf>
    <xf numFmtId="3" fontId="20" fillId="0" borderId="89" xfId="2" applyNumberFormat="1" applyFont="1" applyBorder="1" applyAlignment="1">
      <alignment horizontal="center" vertical="center"/>
    </xf>
    <xf numFmtId="0" fontId="20" fillId="0" borderId="90" xfId="0" applyFont="1" applyBorder="1" applyAlignment="1">
      <alignment horizontal="center" vertical="center" wrapText="1"/>
    </xf>
    <xf numFmtId="167" fontId="20" fillId="0" borderId="92" xfId="0" applyNumberFormat="1" applyFont="1" applyBorder="1" applyAlignment="1">
      <alignment horizontal="center" vertical="center"/>
    </xf>
    <xf numFmtId="167" fontId="20" fillId="0" borderId="93" xfId="0" applyNumberFormat="1" applyFont="1" applyBorder="1" applyAlignment="1">
      <alignment horizontal="center" vertical="center"/>
    </xf>
    <xf numFmtId="167" fontId="7" fillId="0" borderId="84" xfId="0" applyNumberFormat="1" applyFont="1" applyBorder="1"/>
    <xf numFmtId="167" fontId="7" fillId="0" borderId="85" xfId="0" applyNumberFormat="1" applyFont="1" applyBorder="1"/>
    <xf numFmtId="0" fontId="0" fillId="0" borderId="84" xfId="0" applyBorder="1"/>
    <xf numFmtId="0" fontId="0" fillId="0" borderId="85" xfId="0" applyBorder="1"/>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89" xfId="2" applyFont="1" applyBorder="1" applyAlignment="1">
      <alignment horizontal="center" vertical="center" wrapText="1"/>
    </xf>
    <xf numFmtId="0" fontId="20" fillId="0" borderId="95" xfId="0" applyFont="1" applyBorder="1" applyAlignment="1">
      <alignment horizontal="center" vertical="center" wrapText="1"/>
    </xf>
    <xf numFmtId="0" fontId="30" fillId="3" borderId="18" xfId="2" applyFont="1" applyFill="1" applyBorder="1" applyAlignment="1">
      <alignment horizontal="left" vertical="center" wrapText="1"/>
    </xf>
    <xf numFmtId="0" fontId="29" fillId="0" borderId="0" xfId="2" applyFont="1" applyAlignment="1">
      <alignment wrapText="1"/>
    </xf>
    <xf numFmtId="0" fontId="30" fillId="3" borderId="73" xfId="2" applyFont="1" applyFill="1" applyBorder="1" applyAlignment="1">
      <alignment horizontal="left" vertical="center" wrapText="1"/>
    </xf>
    <xf numFmtId="17" fontId="31" fillId="0" borderId="0" xfId="2" applyNumberFormat="1" applyFont="1" applyAlignment="1">
      <alignment wrapText="1"/>
    </xf>
    <xf numFmtId="0" fontId="29" fillId="5" borderId="0" xfId="2" applyFont="1" applyFill="1" applyBorder="1" applyAlignment="1">
      <alignment wrapText="1"/>
    </xf>
    <xf numFmtId="0" fontId="29" fillId="5" borderId="0" xfId="2" applyFont="1" applyFill="1" applyBorder="1" applyAlignment="1">
      <alignment horizontal="center" vertical="center" wrapText="1"/>
    </xf>
    <xf numFmtId="0" fontId="30" fillId="3" borderId="73" xfId="2" applyFont="1" applyFill="1" applyBorder="1" applyAlignment="1">
      <alignment horizontal="center" vertical="center" wrapText="1"/>
    </xf>
    <xf numFmtId="0" fontId="0" fillId="0" borderId="0" xfId="0" applyAlignment="1">
      <alignment wrapText="1"/>
    </xf>
    <xf numFmtId="1" fontId="30" fillId="2" borderId="71" xfId="2" applyNumberFormat="1" applyFont="1" applyFill="1" applyBorder="1" applyAlignment="1">
      <alignment vertical="center"/>
    </xf>
    <xf numFmtId="1" fontId="30" fillId="2" borderId="74" xfId="2" applyNumberFormat="1" applyFont="1" applyFill="1" applyBorder="1" applyAlignment="1">
      <alignment vertical="center"/>
    </xf>
    <xf numFmtId="1" fontId="30" fillId="3" borderId="73" xfId="2" applyNumberFormat="1" applyFont="1" applyFill="1" applyBorder="1" applyAlignment="1">
      <alignment horizontal="left" vertical="center"/>
    </xf>
    <xf numFmtId="1" fontId="30" fillId="3" borderId="73" xfId="2" applyNumberFormat="1" applyFont="1" applyFill="1" applyBorder="1" applyAlignment="1">
      <alignment horizontal="center" vertical="center" wrapText="1"/>
    </xf>
    <xf numFmtId="1" fontId="30" fillId="3" borderId="18" xfId="2" applyNumberFormat="1" applyFont="1" applyFill="1" applyBorder="1" applyAlignment="1">
      <alignment horizontal="center" vertical="center" wrapText="1"/>
    </xf>
    <xf numFmtId="1" fontId="41" fillId="3" borderId="77" xfId="2" applyNumberFormat="1" applyFont="1" applyFill="1" applyBorder="1" applyAlignment="1">
      <alignment horizontal="left" vertical="center" wrapText="1"/>
    </xf>
    <xf numFmtId="1" fontId="30" fillId="3" borderId="96" xfId="2" applyNumberFormat="1" applyFont="1" applyFill="1" applyBorder="1" applyAlignment="1">
      <alignment horizontal="center" vertical="center" wrapText="1"/>
    </xf>
    <xf numFmtId="1" fontId="30" fillId="3" borderId="17" xfId="2" applyNumberFormat="1" applyFont="1" applyFill="1" applyBorder="1" applyAlignment="1">
      <alignment horizontal="left" vertical="center"/>
    </xf>
    <xf numFmtId="1" fontId="30" fillId="3" borderId="77" xfId="2" applyNumberFormat="1" applyFont="1" applyFill="1" applyBorder="1" applyAlignment="1">
      <alignment horizontal="center" vertical="center" wrapText="1"/>
    </xf>
    <xf numFmtId="0" fontId="0" fillId="0" borderId="77" xfId="0" applyBorder="1" applyAlignment="1">
      <alignment wrapText="1"/>
    </xf>
    <xf numFmtId="1" fontId="30" fillId="3" borderId="101" xfId="1" applyNumberFormat="1" applyFont="1" applyFill="1" applyBorder="1" applyAlignment="1">
      <alignment horizontal="center" vertical="center"/>
    </xf>
    <xf numFmtId="1" fontId="30" fillId="3" borderId="101" xfId="2" applyNumberFormat="1"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104" xfId="0" applyFont="1" applyFill="1" applyBorder="1" applyAlignment="1">
      <alignment horizontal="center" vertical="center"/>
    </xf>
    <xf numFmtId="0" fontId="3" fillId="4" borderId="66" xfId="0" applyFont="1" applyFill="1" applyBorder="1" applyAlignment="1">
      <alignment horizontal="left" vertical="center" wrapText="1"/>
    </xf>
    <xf numFmtId="0" fontId="2" fillId="3" borderId="77" xfId="0" applyFont="1" applyFill="1" applyBorder="1" applyAlignment="1">
      <alignment horizontal="left" vertical="center"/>
    </xf>
    <xf numFmtId="0" fontId="36" fillId="3" borderId="77" xfId="0" applyFont="1" applyFill="1" applyBorder="1" applyAlignment="1">
      <alignment horizontal="center" vertical="center" wrapText="1"/>
    </xf>
    <xf numFmtId="0" fontId="39" fillId="3" borderId="77" xfId="0" applyFont="1" applyFill="1" applyBorder="1" applyAlignment="1">
      <alignment horizontal="center" vertical="center" wrapText="1"/>
    </xf>
    <xf numFmtId="0" fontId="37" fillId="3" borderId="77" xfId="0" applyFont="1" applyFill="1" applyBorder="1" applyAlignment="1">
      <alignment horizontal="center" vertical="center" wrapText="1"/>
    </xf>
    <xf numFmtId="0" fontId="40" fillId="3" borderId="77" xfId="0" applyFont="1" applyFill="1" applyBorder="1" applyAlignment="1">
      <alignment horizontal="center" vertical="center" wrapText="1"/>
    </xf>
    <xf numFmtId="0" fontId="36" fillId="3" borderId="77" xfId="0" applyFont="1" applyFill="1" applyBorder="1" applyAlignment="1">
      <alignment horizontal="center" vertical="center"/>
    </xf>
    <xf numFmtId="0" fontId="0" fillId="0" borderId="77" xfId="0" applyBorder="1"/>
    <xf numFmtId="0" fontId="2" fillId="3" borderId="77" xfId="0" applyFont="1" applyFill="1" applyBorder="1" applyAlignment="1">
      <alignment horizontal="left" vertical="center" wrapText="1"/>
    </xf>
    <xf numFmtId="0" fontId="14" fillId="0" borderId="0" xfId="2"/>
    <xf numFmtId="0" fontId="7" fillId="0" borderId="0" xfId="2" applyFont="1" applyBorder="1"/>
    <xf numFmtId="0" fontId="7" fillId="0" borderId="0" xfId="2" applyFont="1" applyBorder="1" applyAlignment="1">
      <alignment horizontal="center" vertical="center"/>
    </xf>
    <xf numFmtId="0" fontId="2" fillId="2" borderId="0" xfId="2" applyFont="1" applyFill="1" applyBorder="1" applyAlignment="1">
      <alignment horizontal="center" vertical="center"/>
    </xf>
    <xf numFmtId="0" fontId="14" fillId="0" borderId="0" xfId="2" applyBorder="1"/>
    <xf numFmtId="0" fontId="2" fillId="3" borderId="73" xfId="2" applyFont="1" applyFill="1" applyBorder="1" applyAlignment="1">
      <alignment horizontal="left" vertical="center"/>
    </xf>
    <xf numFmtId="0" fontId="2" fillId="3" borderId="106" xfId="2" applyFont="1" applyFill="1" applyBorder="1" applyAlignment="1">
      <alignment horizontal="center" vertical="center"/>
    </xf>
    <xf numFmtId="0" fontId="2" fillId="3" borderId="108" xfId="2" applyFont="1" applyFill="1" applyBorder="1" applyAlignment="1">
      <alignment horizontal="center" vertical="center"/>
    </xf>
    <xf numFmtId="0" fontId="2" fillId="3" borderId="0" xfId="2" applyFont="1" applyFill="1" applyBorder="1" applyAlignment="1">
      <alignment horizontal="center" vertical="center"/>
    </xf>
    <xf numFmtId="0" fontId="2" fillId="3" borderId="75" xfId="2" applyFont="1" applyFill="1" applyBorder="1" applyAlignment="1">
      <alignment horizontal="center" vertical="center"/>
    </xf>
    <xf numFmtId="0" fontId="2" fillId="3" borderId="109" xfId="2" applyFont="1" applyFill="1" applyBorder="1" applyAlignment="1">
      <alignment horizontal="center" vertical="center"/>
    </xf>
    <xf numFmtId="0" fontId="30" fillId="3" borderId="106" xfId="2" applyFont="1" applyFill="1" applyBorder="1" applyAlignment="1">
      <alignment horizontal="center" vertical="center"/>
    </xf>
    <xf numFmtId="0" fontId="2" fillId="3" borderId="18" xfId="2" applyFont="1" applyFill="1" applyBorder="1" applyAlignment="1">
      <alignment horizontal="center" vertical="center"/>
    </xf>
    <xf numFmtId="0" fontId="3" fillId="4" borderId="110" xfId="2" applyFont="1" applyFill="1" applyBorder="1" applyAlignment="1">
      <alignment horizontal="left" vertical="center" wrapText="1"/>
    </xf>
    <xf numFmtId="0" fontId="4" fillId="4" borderId="111" xfId="2" applyNumberFormat="1" applyFont="1" applyFill="1" applyBorder="1" applyAlignment="1">
      <alignment horizontal="center" vertical="center"/>
    </xf>
    <xf numFmtId="0" fontId="4" fillId="4" borderId="111" xfId="2" applyFont="1" applyFill="1" applyBorder="1" applyAlignment="1">
      <alignment horizontal="center" vertical="center"/>
    </xf>
    <xf numFmtId="0" fontId="4" fillId="4" borderId="112" xfId="2" applyFont="1" applyFill="1" applyBorder="1" applyAlignment="1">
      <alignment horizontal="center" vertical="center" wrapText="1"/>
    </xf>
    <xf numFmtId="0" fontId="4" fillId="4" borderId="112" xfId="2" applyFont="1" applyFill="1" applyBorder="1" applyAlignment="1">
      <alignment horizontal="center" vertical="center"/>
    </xf>
    <xf numFmtId="0" fontId="4" fillId="4" borderId="111" xfId="2" applyFont="1" applyFill="1" applyBorder="1" applyAlignment="1">
      <alignment horizontal="center" vertical="center" wrapText="1"/>
    </xf>
    <xf numFmtId="9" fontId="4" fillId="4" borderId="111" xfId="2" applyNumberFormat="1" applyFont="1" applyFill="1" applyBorder="1" applyAlignment="1">
      <alignment horizontal="center" vertical="center" wrapText="1"/>
    </xf>
    <xf numFmtId="0" fontId="44" fillId="4" borderId="111" xfId="2" applyFont="1" applyFill="1" applyBorder="1" applyAlignment="1">
      <alignment horizontal="center" vertical="center" wrapText="1"/>
    </xf>
    <xf numFmtId="0" fontId="15" fillId="4" borderId="111" xfId="2" applyFont="1" applyFill="1" applyBorder="1" applyAlignment="1">
      <alignment horizontal="center" vertical="center"/>
    </xf>
    <xf numFmtId="0" fontId="15" fillId="4" borderId="0" xfId="2" applyFont="1" applyFill="1" applyBorder="1" applyAlignment="1">
      <alignment horizontal="center" vertical="center"/>
    </xf>
    <xf numFmtId="0" fontId="8" fillId="0" borderId="113" xfId="2" applyFont="1" applyBorder="1" applyAlignment="1">
      <alignment vertical="center" wrapText="1"/>
    </xf>
    <xf numFmtId="0" fontId="7" fillId="0" borderId="1" xfId="2" applyFont="1" applyBorder="1" applyAlignment="1">
      <alignment horizontal="center" vertical="center"/>
    </xf>
    <xf numFmtId="0" fontId="7" fillId="0" borderId="13" xfId="2" applyFont="1" applyBorder="1" applyAlignment="1">
      <alignment horizontal="center" vertical="center"/>
    </xf>
    <xf numFmtId="0" fontId="7" fillId="0" borderId="12" xfId="2" applyFont="1" applyBorder="1" applyAlignment="1">
      <alignment horizontal="center" vertical="center"/>
    </xf>
    <xf numFmtId="0" fontId="7" fillId="0" borderId="12" xfId="2" applyFont="1" applyBorder="1" applyAlignment="1">
      <alignment horizontal="center" vertical="center" wrapText="1"/>
    </xf>
    <xf numFmtId="0" fontId="29" fillId="0" borderId="1" xfId="2" applyFont="1" applyBorder="1" applyAlignment="1">
      <alignment horizontal="center" vertical="center"/>
    </xf>
    <xf numFmtId="0" fontId="29" fillId="0" borderId="2" xfId="2" applyFont="1" applyBorder="1" applyAlignment="1">
      <alignment horizontal="center" vertical="center"/>
    </xf>
    <xf numFmtId="0" fontId="7" fillId="0" borderId="2" xfId="2" applyFont="1" applyBorder="1" applyAlignment="1">
      <alignment horizontal="center" vertical="center"/>
    </xf>
    <xf numFmtId="0" fontId="8" fillId="0" borderId="10" xfId="2" applyFont="1" applyBorder="1" applyAlignment="1">
      <alignment horizontal="center" vertical="center" wrapText="1"/>
    </xf>
    <xf numFmtId="0" fontId="29" fillId="0" borderId="2" xfId="2" applyFont="1" applyBorder="1" applyAlignment="1">
      <alignment horizontal="center" vertical="center" wrapText="1"/>
    </xf>
    <xf numFmtId="0" fontId="29" fillId="0" borderId="1" xfId="2" applyFont="1" applyBorder="1" applyAlignment="1">
      <alignment horizontal="center" vertical="center" wrapText="1"/>
    </xf>
    <xf numFmtId="0" fontId="8" fillId="0" borderId="1" xfId="2" applyFont="1" applyBorder="1" applyAlignment="1">
      <alignment horizontal="center" vertical="center" wrapText="1"/>
    </xf>
    <xf numFmtId="3" fontId="8" fillId="0" borderId="1" xfId="2" applyNumberFormat="1" applyFont="1" applyBorder="1" applyAlignment="1">
      <alignment horizontal="center" vertical="center" wrapText="1"/>
    </xf>
    <xf numFmtId="3" fontId="8" fillId="0" borderId="13" xfId="2" applyNumberFormat="1" applyFont="1" applyBorder="1" applyAlignment="1">
      <alignment horizontal="center" vertical="center" wrapText="1"/>
    </xf>
    <xf numFmtId="0" fontId="7" fillId="0" borderId="1" xfId="2" applyFont="1" applyBorder="1" applyAlignment="1">
      <alignment horizontal="center" vertical="center" wrapText="1"/>
    </xf>
    <xf numFmtId="3" fontId="7" fillId="0" borderId="11" xfId="2" applyNumberFormat="1" applyFont="1" applyBorder="1" applyAlignment="1">
      <alignment horizontal="center" vertical="center"/>
    </xf>
    <xf numFmtId="0" fontId="7" fillId="0" borderId="0"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8" xfId="2" applyFont="1" applyBorder="1" applyAlignment="1">
      <alignment horizontal="center" vertical="center"/>
    </xf>
    <xf numFmtId="0" fontId="29" fillId="0" borderId="7"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2" xfId="2" applyFont="1" applyBorder="1" applyAlignment="1">
      <alignment horizontal="center" vertical="center" wrapText="1"/>
    </xf>
    <xf numFmtId="3" fontId="8" fillId="0" borderId="12" xfId="2" applyNumberFormat="1" applyFont="1" applyBorder="1" applyAlignment="1">
      <alignment horizontal="center" vertical="center" wrapText="1"/>
    </xf>
    <xf numFmtId="4" fontId="7" fillId="0" borderId="11" xfId="2" applyNumberFormat="1" applyFont="1" applyBorder="1" applyAlignment="1">
      <alignment horizontal="center" vertical="center"/>
    </xf>
    <xf numFmtId="168" fontId="29" fillId="0" borderId="6" xfId="3" applyNumberFormat="1" applyFont="1" applyBorder="1" applyAlignment="1">
      <alignment horizontal="center" vertical="center" wrapText="1"/>
    </xf>
    <xf numFmtId="2" fontId="8" fillId="0" borderId="1" xfId="2" applyNumberFormat="1" applyFont="1" applyBorder="1" applyAlignment="1">
      <alignment horizontal="center" vertical="center" wrapText="1"/>
    </xf>
    <xf numFmtId="2" fontId="8" fillId="0" borderId="13" xfId="2" applyNumberFormat="1" applyFont="1" applyBorder="1" applyAlignment="1">
      <alignment horizontal="center" vertical="center" wrapText="1"/>
    </xf>
    <xf numFmtId="2" fontId="7" fillId="0" borderId="1" xfId="2" applyNumberFormat="1" applyFont="1" applyBorder="1" applyAlignment="1">
      <alignment horizontal="center" vertical="center" wrapText="1"/>
    </xf>
    <xf numFmtId="2" fontId="8" fillId="0" borderId="10" xfId="2" applyNumberFormat="1" applyFont="1" applyBorder="1" applyAlignment="1">
      <alignment horizontal="center" vertical="center" wrapText="1"/>
    </xf>
    <xf numFmtId="2" fontId="8" fillId="0" borderId="12" xfId="2" applyNumberFormat="1" applyFont="1" applyBorder="1" applyAlignment="1">
      <alignment horizontal="center" vertical="center" wrapText="1"/>
    </xf>
    <xf numFmtId="0" fontId="8" fillId="0" borderId="113" xfId="2" applyFont="1" applyBorder="1" applyAlignment="1">
      <alignment horizontal="center" vertical="center" wrapText="1"/>
    </xf>
    <xf numFmtId="0" fontId="14" fillId="0" borderId="0" xfId="2" applyAlignment="1">
      <alignment horizontal="center" vertical="center"/>
    </xf>
    <xf numFmtId="167" fontId="7" fillId="0" borderId="0" xfId="2" applyNumberFormat="1" applyFont="1" applyBorder="1"/>
    <xf numFmtId="0" fontId="14" fillId="0" borderId="0" xfId="2" applyBorder="1" applyAlignment="1">
      <alignment wrapText="1"/>
    </xf>
    <xf numFmtId="4" fontId="14" fillId="0" borderId="0" xfId="2" applyNumberFormat="1" applyBorder="1"/>
    <xf numFmtId="0" fontId="8" fillId="0" borderId="114" xfId="2" applyFont="1" applyBorder="1" applyAlignment="1">
      <alignment vertical="center" wrapText="1"/>
    </xf>
    <xf numFmtId="0" fontId="8" fillId="0" borderId="8" xfId="2" applyFont="1" applyBorder="1" applyAlignment="1">
      <alignment horizontal="center" vertical="center" wrapText="1"/>
    </xf>
    <xf numFmtId="3" fontId="8" fillId="0" borderId="8" xfId="2" applyNumberFormat="1" applyFont="1" applyBorder="1" applyAlignment="1">
      <alignment horizontal="center" vertical="center" wrapText="1"/>
    </xf>
    <xf numFmtId="0" fontId="7" fillId="0" borderId="8" xfId="2" applyFont="1" applyBorder="1" applyAlignment="1">
      <alignment horizontal="center" vertical="center" wrapText="1"/>
    </xf>
    <xf numFmtId="0" fontId="8" fillId="0" borderId="41" xfId="2" applyFont="1" applyBorder="1" applyAlignment="1">
      <alignment horizontal="center" vertical="center" wrapText="1"/>
    </xf>
    <xf numFmtId="0" fontId="7" fillId="0" borderId="8" xfId="2" applyFont="1" applyBorder="1" applyAlignment="1">
      <alignment horizontal="center" vertical="center"/>
    </xf>
    <xf numFmtId="4" fontId="7" fillId="0" borderId="8" xfId="2" applyNumberFormat="1" applyFont="1" applyBorder="1" applyAlignment="1">
      <alignment horizontal="center" vertical="center"/>
    </xf>
    <xf numFmtId="0" fontId="15" fillId="5" borderId="112" xfId="2" applyFont="1" applyFill="1" applyBorder="1" applyAlignment="1">
      <alignment horizontal="center" vertical="center" wrapText="1"/>
    </xf>
    <xf numFmtId="0" fontId="29" fillId="5" borderId="116" xfId="2" applyFont="1" applyFill="1" applyBorder="1" applyAlignment="1">
      <alignment horizontal="center" vertical="center" wrapText="1"/>
    </xf>
    <xf numFmtId="0" fontId="15" fillId="5" borderId="116" xfId="2" applyFont="1" applyFill="1" applyBorder="1" applyAlignment="1">
      <alignment horizontal="center" vertical="center" wrapText="1"/>
    </xf>
    <xf numFmtId="0" fontId="15" fillId="5" borderId="116" xfId="2" applyFont="1" applyFill="1" applyBorder="1" applyAlignment="1">
      <alignment horizontal="center" vertical="center"/>
    </xf>
    <xf numFmtId="0" fontId="29" fillId="5" borderId="117" xfId="2" applyFont="1" applyFill="1" applyBorder="1" applyAlignment="1">
      <alignment horizontal="center" vertical="center" wrapText="1"/>
    </xf>
    <xf numFmtId="0" fontId="29" fillId="5" borderId="118" xfId="2" applyFont="1" applyFill="1" applyBorder="1" applyAlignment="1">
      <alignment horizontal="center" vertical="center" wrapText="1"/>
    </xf>
    <xf numFmtId="0" fontId="14" fillId="0" borderId="115" xfId="2" applyBorder="1"/>
    <xf numFmtId="167" fontId="7" fillId="0" borderId="115" xfId="2" applyNumberFormat="1" applyFont="1" applyBorder="1"/>
    <xf numFmtId="2" fontId="14" fillId="0" borderId="115" xfId="2" applyNumberFormat="1" applyBorder="1"/>
    <xf numFmtId="2" fontId="7" fillId="0" borderId="115" xfId="2" applyNumberFormat="1" applyFont="1" applyBorder="1" applyAlignment="1">
      <alignment wrapText="1"/>
    </xf>
    <xf numFmtId="2" fontId="7" fillId="0" borderId="115" xfId="2" applyNumberFormat="1" applyFont="1" applyBorder="1"/>
    <xf numFmtId="2" fontId="50" fillId="0" borderId="115" xfId="2" applyNumberFormat="1" applyFont="1" applyBorder="1" applyAlignment="1">
      <alignment wrapText="1"/>
    </xf>
    <xf numFmtId="2" fontId="7" fillId="0" borderId="115" xfId="2" applyNumberFormat="1" applyFont="1" applyBorder="1" applyAlignment="1">
      <alignment horizontal="center" vertical="center"/>
    </xf>
    <xf numFmtId="2" fontId="7" fillId="0" borderId="115" xfId="2" applyNumberFormat="1" applyFont="1" applyBorder="1" applyAlignment="1">
      <alignment horizontal="center" vertical="center" wrapText="1"/>
    </xf>
    <xf numFmtId="2" fontId="50" fillId="0" borderId="115" xfId="2" applyNumberFormat="1" applyFont="1" applyBorder="1" applyAlignment="1">
      <alignment vertical="center" wrapText="1"/>
    </xf>
    <xf numFmtId="1" fontId="30" fillId="3" borderId="16" xfId="2" applyNumberFormat="1" applyFont="1" applyFill="1" applyBorder="1" applyAlignment="1">
      <alignment horizontal="center" vertical="center" wrapText="1"/>
    </xf>
    <xf numFmtId="1" fontId="30" fillId="3" borderId="17" xfId="2" applyNumberFormat="1" applyFont="1" applyFill="1" applyBorder="1" applyAlignment="1">
      <alignment horizontal="center" vertical="center" wrapText="1"/>
    </xf>
    <xf numFmtId="1" fontId="41" fillId="3" borderId="96" xfId="2" applyNumberFormat="1" applyFont="1" applyFill="1" applyBorder="1" applyAlignment="1">
      <alignment horizontal="left" vertical="center" wrapText="1"/>
    </xf>
    <xf numFmtId="1" fontId="30" fillId="3" borderId="119" xfId="2" applyNumberFormat="1" applyFont="1" applyFill="1" applyBorder="1" applyAlignment="1">
      <alignment horizontal="center" vertical="center" wrapText="1"/>
    </xf>
    <xf numFmtId="1" fontId="30" fillId="3" borderId="115" xfId="1" applyNumberFormat="1" applyFont="1" applyFill="1" applyBorder="1" applyAlignment="1">
      <alignment horizontal="center" vertical="center"/>
    </xf>
    <xf numFmtId="1" fontId="30" fillId="3" borderId="115" xfId="2" applyNumberFormat="1" applyFont="1" applyFill="1" applyBorder="1" applyAlignment="1">
      <alignment horizontal="center" vertical="center"/>
    </xf>
    <xf numFmtId="0" fontId="2" fillId="3" borderId="77"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0" xfId="0" applyFont="1" applyFill="1" applyBorder="1" applyAlignment="1">
      <alignment horizontal="center" vertical="center"/>
    </xf>
    <xf numFmtId="166" fontId="20" fillId="0" borderId="32" xfId="1" applyNumberFormat="1" applyFont="1" applyBorder="1" applyAlignment="1">
      <alignment horizontal="center" vertical="center"/>
    </xf>
    <xf numFmtId="166" fontId="20" fillId="0" borderId="45" xfId="1" applyNumberFormat="1" applyFont="1" applyBorder="1" applyAlignment="1">
      <alignment horizontal="center" vertical="center"/>
    </xf>
    <xf numFmtId="166" fontId="20" fillId="0" borderId="25" xfId="1" applyNumberFormat="1" applyFont="1" applyBorder="1" applyAlignment="1">
      <alignment horizontal="center" vertical="center"/>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3" xfId="0" applyFont="1" applyFill="1" applyBorder="1" applyAlignment="1">
      <alignment horizontal="center" vertical="center"/>
    </xf>
    <xf numFmtId="1" fontId="2" fillId="3" borderId="77" xfId="0" applyNumberFormat="1" applyFont="1" applyFill="1" applyBorder="1" applyAlignment="1">
      <alignment horizontal="center" vertical="center"/>
    </xf>
    <xf numFmtId="2" fontId="2" fillId="3" borderId="77" xfId="0" applyNumberFormat="1" applyFont="1" applyFill="1" applyBorder="1" applyAlignment="1">
      <alignment horizontal="center" vertical="center"/>
    </xf>
    <xf numFmtId="0" fontId="20" fillId="0" borderId="62"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166" fontId="20" fillId="0" borderId="66" xfId="1" applyNumberFormat="1" applyFont="1" applyBorder="1" applyAlignment="1">
      <alignment horizontal="center" vertical="center"/>
    </xf>
    <xf numFmtId="166" fontId="20" fillId="0" borderId="42" xfId="1" applyNumberFormat="1" applyFont="1" applyBorder="1" applyAlignment="1">
      <alignment horizontal="center" vertical="center"/>
    </xf>
    <xf numFmtId="166" fontId="20" fillId="0" borderId="67" xfId="1" applyNumberFormat="1" applyFont="1" applyBorder="1" applyAlignment="1">
      <alignment horizontal="center" vertical="center"/>
    </xf>
    <xf numFmtId="169" fontId="2" fillId="3" borderId="77" xfId="1" applyNumberFormat="1" applyFont="1" applyFill="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0" fillId="0" borderId="45" xfId="1" applyNumberFormat="1" applyFont="1" applyBorder="1" applyAlignment="1">
      <alignment horizontal="center" vertical="center"/>
    </xf>
    <xf numFmtId="0" fontId="20" fillId="0" borderId="32" xfId="1" applyNumberFormat="1" applyFont="1" applyBorder="1" applyAlignment="1">
      <alignment horizontal="center" vertical="center"/>
    </xf>
    <xf numFmtId="0" fontId="20" fillId="0" borderId="25" xfId="1" applyNumberFormat="1" applyFont="1" applyBorder="1" applyAlignment="1">
      <alignment horizontal="center" vertical="center"/>
    </xf>
    <xf numFmtId="0" fontId="2" fillId="2" borderId="71" xfId="2" applyFont="1" applyFill="1" applyBorder="1" applyAlignment="1">
      <alignment horizontal="center" vertical="center"/>
    </xf>
    <xf numFmtId="0" fontId="2" fillId="2" borderId="105" xfId="2" applyFont="1" applyFill="1" applyBorder="1" applyAlignment="1">
      <alignment horizontal="center" vertical="center"/>
    </xf>
    <xf numFmtId="0" fontId="2" fillId="2" borderId="106" xfId="2" applyFont="1" applyFill="1" applyBorder="1" applyAlignment="1">
      <alignment horizontal="center" vertical="center"/>
    </xf>
    <xf numFmtId="0" fontId="2" fillId="2" borderId="72" xfId="2" applyFont="1" applyFill="1" applyBorder="1" applyAlignment="1">
      <alignment horizontal="center" vertical="center"/>
    </xf>
    <xf numFmtId="0" fontId="2" fillId="2" borderId="107" xfId="2" applyFont="1" applyFill="1" applyBorder="1" applyAlignment="1">
      <alignment horizontal="center" vertical="center"/>
    </xf>
    <xf numFmtId="1" fontId="30" fillId="3" borderId="77" xfId="2" applyNumberFormat="1" applyFont="1" applyFill="1" applyBorder="1" applyAlignment="1">
      <alignment horizontal="center" vertical="center"/>
    </xf>
    <xf numFmtId="1" fontId="30" fillId="3" borderId="72" xfId="2" applyNumberFormat="1" applyFont="1" applyFill="1" applyBorder="1" applyAlignment="1">
      <alignment horizontal="center" vertical="center"/>
    </xf>
    <xf numFmtId="1" fontId="30" fillId="3" borderId="76" xfId="2" applyNumberFormat="1" applyFont="1" applyFill="1" applyBorder="1" applyAlignment="1">
      <alignment horizontal="center" vertical="center"/>
    </xf>
    <xf numFmtId="1" fontId="30" fillId="3" borderId="76" xfId="2" applyNumberFormat="1" applyFont="1" applyFill="1" applyBorder="1" applyAlignment="1">
      <alignment horizontal="center" vertical="center" wrapText="1"/>
    </xf>
    <xf numFmtId="1" fontId="30" fillId="3" borderId="74" xfId="2" applyNumberFormat="1" applyFont="1" applyFill="1" applyBorder="1" applyAlignment="1">
      <alignment horizontal="center" vertical="center"/>
    </xf>
    <xf numFmtId="3" fontId="33" fillId="0" borderId="0" xfId="2" applyNumberFormat="1" applyFont="1" applyFill="1" applyBorder="1" applyAlignment="1">
      <alignment horizontal="center" vertical="center" wrapText="1"/>
    </xf>
    <xf numFmtId="0" fontId="33" fillId="0" borderId="0" xfId="2" applyFont="1" applyFill="1" applyBorder="1" applyAlignment="1">
      <alignment horizontal="center" vertical="center" wrapText="1"/>
    </xf>
    <xf numFmtId="3" fontId="33" fillId="0" borderId="81" xfId="2" applyNumberFormat="1" applyFont="1" applyFill="1" applyBorder="1" applyAlignment="1">
      <alignment horizontal="center" vertical="center" wrapText="1"/>
    </xf>
    <xf numFmtId="3" fontId="30" fillId="3" borderId="77" xfId="2" applyNumberFormat="1" applyFont="1" applyFill="1" applyBorder="1" applyAlignment="1">
      <alignment horizontal="center" vertical="center"/>
    </xf>
    <xf numFmtId="0" fontId="35" fillId="5" borderId="0" xfId="2" applyFont="1" applyFill="1" applyBorder="1" applyAlignment="1">
      <alignment horizontal="center" vertical="center"/>
    </xf>
    <xf numFmtId="0" fontId="30" fillId="3" borderId="76" xfId="2" applyFont="1" applyFill="1" applyBorder="1" applyAlignment="1">
      <alignment horizontal="center" vertical="center"/>
    </xf>
    <xf numFmtId="0" fontId="29" fillId="0" borderId="0" xfId="2" applyFont="1" applyFill="1" applyBorder="1" applyAlignment="1">
      <alignment horizontal="left" vertical="center" wrapText="1"/>
    </xf>
    <xf numFmtId="0" fontId="30" fillId="3" borderId="76" xfId="2" applyFont="1" applyFill="1" applyBorder="1" applyAlignment="1">
      <alignment horizontal="center" vertical="center" wrapText="1"/>
    </xf>
    <xf numFmtId="0" fontId="30" fillId="5" borderId="0" xfId="2" applyFont="1" applyFill="1" applyBorder="1" applyAlignment="1">
      <alignment horizontal="center" vertical="center"/>
    </xf>
    <xf numFmtId="0" fontId="29" fillId="0" borderId="0" xfId="2" applyFont="1" applyFill="1" applyBorder="1" applyAlignment="1">
      <alignment horizontal="left" vertical="center"/>
    </xf>
    <xf numFmtId="0" fontId="30" fillId="3" borderId="72" xfId="2" applyFont="1" applyFill="1" applyBorder="1" applyAlignment="1">
      <alignment horizontal="center" vertical="center"/>
    </xf>
    <xf numFmtId="0" fontId="30" fillId="3" borderId="74" xfId="2" applyFont="1" applyFill="1" applyBorder="1" applyAlignment="1">
      <alignment horizontal="center" vertical="center"/>
    </xf>
    <xf numFmtId="1" fontId="30" fillId="3" borderId="82" xfId="2" applyNumberFormat="1" applyFont="1" applyFill="1" applyBorder="1" applyAlignment="1">
      <alignment horizontal="center" vertical="center" wrapText="1"/>
    </xf>
    <xf numFmtId="1" fontId="30" fillId="3" borderId="99" xfId="2" applyNumberFormat="1" applyFont="1" applyFill="1" applyBorder="1" applyAlignment="1">
      <alignment horizontal="center" vertical="center" wrapText="1"/>
    </xf>
    <xf numFmtId="1" fontId="30" fillId="3" borderId="83" xfId="2" applyNumberFormat="1" applyFont="1" applyFill="1" applyBorder="1" applyAlignment="1">
      <alignment horizontal="center" vertical="center" wrapText="1"/>
    </xf>
    <xf numFmtId="1" fontId="30" fillId="3" borderId="96" xfId="2" applyNumberFormat="1" applyFont="1" applyFill="1" applyBorder="1" applyAlignment="1">
      <alignment horizontal="center" vertical="center"/>
    </xf>
    <xf numFmtId="1" fontId="30" fillId="3" borderId="97" xfId="2" applyNumberFormat="1" applyFont="1" applyFill="1" applyBorder="1" applyAlignment="1">
      <alignment horizontal="center" vertical="center"/>
    </xf>
    <xf numFmtId="1" fontId="30" fillId="3" borderId="115" xfId="2" applyNumberFormat="1" applyFont="1" applyFill="1" applyBorder="1" applyAlignment="1">
      <alignment horizontal="center" vertical="center" wrapText="1"/>
    </xf>
    <xf numFmtId="1" fontId="30" fillId="3" borderId="97" xfId="2" applyNumberFormat="1" applyFont="1" applyFill="1" applyBorder="1" applyAlignment="1">
      <alignment horizontal="center" vertical="center" wrapText="1"/>
    </xf>
    <xf numFmtId="1" fontId="30" fillId="3" borderId="77" xfId="2" applyNumberFormat="1" applyFont="1" applyFill="1" applyBorder="1" applyAlignment="1">
      <alignment horizontal="center" vertical="center" wrapText="1"/>
    </xf>
    <xf numFmtId="1" fontId="30" fillId="3" borderId="18" xfId="2" applyNumberFormat="1" applyFont="1" applyFill="1" applyBorder="1" applyAlignment="1">
      <alignment horizontal="center" vertical="center" wrapText="1"/>
    </xf>
    <xf numFmtId="1" fontId="30" fillId="3" borderId="100" xfId="2" applyNumberFormat="1" applyFont="1" applyFill="1" applyBorder="1" applyAlignment="1">
      <alignment horizontal="center" vertical="center" wrapText="1"/>
    </xf>
    <xf numFmtId="1" fontId="30" fillId="3" borderId="96" xfId="2" applyNumberFormat="1" applyFont="1" applyFill="1" applyBorder="1" applyAlignment="1">
      <alignment horizontal="center" vertical="center" wrapText="1"/>
    </xf>
    <xf numFmtId="1" fontId="30" fillId="3" borderId="115" xfId="2" applyNumberFormat="1" applyFont="1" applyFill="1" applyBorder="1" applyAlignment="1">
      <alignment horizontal="center" vertical="center"/>
    </xf>
    <xf numFmtId="1" fontId="30" fillId="3" borderId="98" xfId="2" applyNumberFormat="1" applyFont="1" applyFill="1" applyBorder="1" applyAlignment="1">
      <alignment horizontal="center" vertical="center" wrapText="1"/>
    </xf>
    <xf numFmtId="1" fontId="30" fillId="3" borderId="77" xfId="1" applyNumberFormat="1" applyFont="1" applyFill="1" applyBorder="1" applyAlignment="1">
      <alignment horizontal="center" vertical="center"/>
    </xf>
    <xf numFmtId="3" fontId="30" fillId="3" borderId="96" xfId="2" applyNumberFormat="1" applyFont="1" applyFill="1" applyBorder="1" applyAlignment="1">
      <alignment horizontal="center" vertical="center"/>
    </xf>
    <xf numFmtId="3" fontId="30" fillId="3" borderId="97" xfId="2" applyNumberFormat="1" applyFont="1" applyFill="1" applyBorder="1" applyAlignment="1">
      <alignment horizontal="center" vertical="center"/>
    </xf>
    <xf numFmtId="1" fontId="30" fillId="3" borderId="98" xfId="2" applyNumberFormat="1" applyFont="1" applyFill="1" applyBorder="1" applyAlignment="1">
      <alignment horizontal="center" vertical="center"/>
    </xf>
  </cellXfs>
  <cellStyles count="6">
    <cellStyle name="Comma" xfId="1" builtinId="3"/>
    <cellStyle name="Normal" xfId="0" builtinId="0"/>
    <cellStyle name="Normal 2" xfId="2"/>
    <cellStyle name="Normal 3" xfId="5"/>
    <cellStyle name="Procent 2" xfId="4"/>
    <cellStyle name="Virgulă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23"/>
  <sheetViews>
    <sheetView zoomScale="80" zoomScaleNormal="80" workbookViewId="0">
      <pane xSplit="1" topLeftCell="CV1" activePane="topRight" state="frozen"/>
      <selection activeCell="A2" sqref="A2"/>
      <selection pane="topRight" activeCell="CV1" sqref="CV1:CV1048576"/>
    </sheetView>
  </sheetViews>
  <sheetFormatPr defaultRowHeight="15"/>
  <cols>
    <col min="1" max="1" width="32.42578125" customWidth="1"/>
    <col min="2" max="3" width="14.7109375" customWidth="1"/>
    <col min="4" max="4" width="17" bestFit="1" customWidth="1"/>
    <col min="5" max="5" width="12.7109375" customWidth="1"/>
    <col min="6" max="7" width="14.7109375" customWidth="1"/>
    <col min="8" max="8" width="17" bestFit="1" customWidth="1"/>
    <col min="9" max="9" width="14.7109375" customWidth="1"/>
    <col min="10" max="11" width="12.42578125" customWidth="1"/>
    <col min="12" max="12" width="17" bestFit="1" customWidth="1"/>
    <col min="13" max="13" width="12.42578125" customWidth="1"/>
    <col min="14" max="15" width="12.28515625" customWidth="1"/>
    <col min="16" max="16" width="17" bestFit="1" customWidth="1"/>
    <col min="17" max="17" width="12.28515625" customWidth="1"/>
    <col min="18" max="19" width="12.7109375" customWidth="1"/>
    <col min="20" max="20" width="17" bestFit="1" customWidth="1"/>
    <col min="21" max="21" width="12.7109375" customWidth="1"/>
    <col min="22" max="23" width="12.42578125" customWidth="1"/>
    <col min="24" max="24" width="17" bestFit="1" customWidth="1"/>
    <col min="25" max="25" width="12.42578125" customWidth="1"/>
    <col min="26" max="27" width="13.85546875" customWidth="1"/>
    <col min="28" max="28" width="17" bestFit="1" customWidth="1"/>
    <col min="29" max="29" width="13.85546875" customWidth="1"/>
    <col min="30" max="30" width="15.140625" bestFit="1" customWidth="1"/>
    <col min="31" max="31" width="15.140625" customWidth="1"/>
    <col min="32" max="32" width="17" bestFit="1" customWidth="1"/>
    <col min="33" max="33" width="18.7109375" customWidth="1"/>
    <col min="34" max="34" width="20.5703125" customWidth="1"/>
    <col min="35" max="35" width="11.7109375" customWidth="1"/>
    <col min="36" max="36" width="17" bestFit="1" customWidth="1"/>
    <col min="37" max="37" width="16.28515625" customWidth="1"/>
    <col min="38" max="40" width="17.42578125" customWidth="1"/>
    <col min="41" max="41" width="19.28515625" customWidth="1"/>
    <col min="42" max="42" width="23" customWidth="1"/>
    <col min="43" max="43" width="10.42578125" customWidth="1"/>
    <col min="44" max="44" width="17" bestFit="1" customWidth="1"/>
    <col min="45" max="45" width="15.140625" customWidth="1"/>
    <col min="46" max="46" width="27.28515625" customWidth="1"/>
    <col min="47" max="47" width="14.7109375" customWidth="1"/>
    <col min="48" max="48" width="17" bestFit="1" customWidth="1"/>
    <col min="49" max="49" width="22" customWidth="1"/>
    <col min="50" max="50" width="18.7109375" customWidth="1"/>
    <col min="52" max="52" width="17" bestFit="1" customWidth="1"/>
    <col min="53" max="53" width="19.7109375" customWidth="1"/>
    <col min="54" max="54" width="24" customWidth="1"/>
    <col min="56" max="56" width="17" bestFit="1" customWidth="1"/>
    <col min="57" max="57" width="17.7109375" customWidth="1"/>
    <col min="58" max="59" width="15.7109375" customWidth="1"/>
    <col min="60" max="60" width="17" bestFit="1" customWidth="1"/>
    <col min="62" max="62" width="28.28515625" customWidth="1"/>
    <col min="63" max="63" width="18.140625" customWidth="1"/>
    <col min="64" max="64" width="17" bestFit="1" customWidth="1"/>
    <col min="65" max="65" width="28.140625" customWidth="1"/>
    <col min="66" max="66" width="22.7109375" customWidth="1"/>
    <col min="67" max="67" width="23.5703125" customWidth="1"/>
    <col min="68" max="68" width="22.7109375" customWidth="1"/>
    <col min="69" max="69" width="22.5703125" customWidth="1"/>
    <col min="70" max="73" width="15.7109375" customWidth="1"/>
    <col min="74" max="74" width="16.7109375" customWidth="1"/>
    <col min="75" max="75" width="11.28515625" customWidth="1"/>
    <col min="76" max="76" width="17" bestFit="1" customWidth="1"/>
    <col min="77" max="77" width="11.28515625" customWidth="1"/>
    <col min="78" max="78" width="16.28515625" customWidth="1"/>
    <col min="79" max="79" width="19.5703125" customWidth="1"/>
    <col min="80" max="80" width="17" bestFit="1" customWidth="1"/>
    <col min="81" max="81" width="11.28515625" customWidth="1"/>
    <col min="82" max="84" width="23.7109375" customWidth="1"/>
    <col min="85" max="85" width="22.7109375" customWidth="1"/>
    <col min="86" max="86" width="19.28515625" customWidth="1"/>
    <col min="87" max="87" width="10.28515625" customWidth="1"/>
    <col min="88" max="88" width="17" bestFit="1" customWidth="1"/>
    <col min="89" max="89" width="14.28515625" customWidth="1"/>
    <col min="90" max="90" width="25.7109375" customWidth="1"/>
    <col min="92" max="92" width="17" bestFit="1" customWidth="1"/>
    <col min="93" max="93" width="21.28515625" customWidth="1"/>
    <col min="94" max="94" width="21.5703125" customWidth="1"/>
    <col min="96" max="96" width="17" bestFit="1" customWidth="1"/>
    <col min="97" max="97" width="12.7109375" customWidth="1"/>
    <col min="98" max="99" width="15.7109375" customWidth="1"/>
    <col min="100" max="100" width="17" bestFit="1" customWidth="1"/>
    <col min="101" max="101" width="17.28515625" customWidth="1"/>
    <col min="104" max="104" width="17" bestFit="1" customWidth="1"/>
    <col min="106" max="106" width="24.7109375" customWidth="1"/>
    <col min="107" max="107" width="23" customWidth="1"/>
    <col min="108" max="108" width="17" bestFit="1" customWidth="1"/>
    <col min="109" max="109" width="23.7109375" customWidth="1"/>
    <col min="110" max="110" width="10.7109375" bestFit="1" customWidth="1"/>
    <col min="111" max="111" width="10.7109375" customWidth="1"/>
    <col min="112" max="112" width="17" bestFit="1" customWidth="1"/>
    <col min="113" max="113" width="14.140625" customWidth="1"/>
    <col min="340" max="340" width="17.28515625" customWidth="1"/>
    <col min="341" max="341" width="12.7109375" customWidth="1"/>
    <col min="342" max="342" width="14.7109375" customWidth="1"/>
    <col min="343" max="343" width="12.42578125" customWidth="1"/>
    <col min="344" max="344" width="12.28515625" customWidth="1"/>
    <col min="345" max="345" width="12.7109375" customWidth="1"/>
    <col min="346" max="346" width="12.42578125" customWidth="1"/>
    <col min="347" max="347" width="13.85546875" customWidth="1"/>
    <col min="348" max="348" width="20.28515625" customWidth="1"/>
    <col min="349" max="349" width="11.7109375" customWidth="1"/>
    <col min="350" max="350" width="17.42578125" customWidth="1"/>
    <col min="356" max="356" width="11.42578125" customWidth="1"/>
    <col min="357" max="357" width="16" customWidth="1"/>
    <col min="358" max="358" width="12" customWidth="1"/>
    <col min="359" max="360" width="11.28515625" bestFit="1" customWidth="1"/>
    <col min="361" max="361" width="9.140625" bestFit="1" customWidth="1"/>
    <col min="362" max="362" width="10.28515625" bestFit="1" customWidth="1"/>
    <col min="365" max="365" width="11.28515625" bestFit="1" customWidth="1"/>
    <col min="368" max="368" width="10.7109375" bestFit="1" customWidth="1"/>
    <col min="596" max="596" width="17.28515625" customWidth="1"/>
    <col min="597" max="597" width="12.7109375" customWidth="1"/>
    <col min="598" max="598" width="14.7109375" customWidth="1"/>
    <col min="599" max="599" width="12.42578125" customWidth="1"/>
    <col min="600" max="600" width="12.28515625" customWidth="1"/>
    <col min="601" max="601" width="12.7109375" customWidth="1"/>
    <col min="602" max="602" width="12.42578125" customWidth="1"/>
    <col min="603" max="603" width="13.85546875" customWidth="1"/>
    <col min="604" max="604" width="20.28515625" customWidth="1"/>
    <col min="605" max="605" width="11.7109375" customWidth="1"/>
    <col min="606" max="606" width="17.42578125" customWidth="1"/>
    <col min="612" max="612" width="11.42578125" customWidth="1"/>
    <col min="613" max="613" width="16" customWidth="1"/>
    <col min="614" max="614" width="12" customWidth="1"/>
    <col min="615" max="616" width="11.28515625" bestFit="1" customWidth="1"/>
    <col min="617" max="617" width="9.140625" bestFit="1" customWidth="1"/>
    <col min="618" max="618" width="10.28515625" bestFit="1" customWidth="1"/>
    <col min="621" max="621" width="11.28515625" bestFit="1" customWidth="1"/>
    <col min="624" max="624" width="10.7109375" bestFit="1" customWidth="1"/>
    <col min="852" max="852" width="17.28515625" customWidth="1"/>
    <col min="853" max="853" width="12.7109375" customWidth="1"/>
    <col min="854" max="854" width="14.7109375" customWidth="1"/>
    <col min="855" max="855" width="12.42578125" customWidth="1"/>
    <col min="856" max="856" width="12.28515625" customWidth="1"/>
    <col min="857" max="857" width="12.7109375" customWidth="1"/>
    <col min="858" max="858" width="12.42578125" customWidth="1"/>
    <col min="859" max="859" width="13.85546875" customWidth="1"/>
    <col min="860" max="860" width="20.28515625" customWidth="1"/>
    <col min="861" max="861" width="11.7109375" customWidth="1"/>
    <col min="862" max="862" width="17.42578125" customWidth="1"/>
    <col min="868" max="868" width="11.42578125" customWidth="1"/>
    <col min="869" max="869" width="16" customWidth="1"/>
    <col min="870" max="870" width="12" customWidth="1"/>
    <col min="871" max="872" width="11.28515625" bestFit="1" customWidth="1"/>
    <col min="873" max="873" width="9.140625" bestFit="1" customWidth="1"/>
    <col min="874" max="874" width="10.28515625" bestFit="1" customWidth="1"/>
    <col min="877" max="877" width="11.28515625" bestFit="1" customWidth="1"/>
    <col min="880" max="880" width="10.7109375" bestFit="1" customWidth="1"/>
    <col min="1108" max="1108" width="17.28515625" customWidth="1"/>
    <col min="1109" max="1109" width="12.7109375" customWidth="1"/>
    <col min="1110" max="1110" width="14.7109375" customWidth="1"/>
    <col min="1111" max="1111" width="12.42578125" customWidth="1"/>
    <col min="1112" max="1112" width="12.28515625" customWidth="1"/>
    <col min="1113" max="1113" width="12.7109375" customWidth="1"/>
    <col min="1114" max="1114" width="12.42578125" customWidth="1"/>
    <col min="1115" max="1115" width="13.85546875" customWidth="1"/>
    <col min="1116" max="1116" width="20.28515625" customWidth="1"/>
    <col min="1117" max="1117" width="11.7109375" customWidth="1"/>
    <col min="1118" max="1118" width="17.42578125" customWidth="1"/>
    <col min="1124" max="1124" width="11.42578125" customWidth="1"/>
    <col min="1125" max="1125" width="16" customWidth="1"/>
    <col min="1126" max="1126" width="12" customWidth="1"/>
    <col min="1127" max="1128" width="11.28515625" bestFit="1" customWidth="1"/>
    <col min="1129" max="1129" width="9.140625" bestFit="1" customWidth="1"/>
    <col min="1130" max="1130" width="10.28515625" bestFit="1" customWidth="1"/>
    <col min="1133" max="1133" width="11.28515625" bestFit="1" customWidth="1"/>
    <col min="1136" max="1136" width="10.7109375" bestFit="1" customWidth="1"/>
    <col min="1364" max="1364" width="17.28515625" customWidth="1"/>
    <col min="1365" max="1365" width="12.7109375" customWidth="1"/>
    <col min="1366" max="1366" width="14.7109375" customWidth="1"/>
    <col min="1367" max="1367" width="12.42578125" customWidth="1"/>
    <col min="1368" max="1368" width="12.28515625" customWidth="1"/>
    <col min="1369" max="1369" width="12.7109375" customWidth="1"/>
    <col min="1370" max="1370" width="12.42578125" customWidth="1"/>
    <col min="1371" max="1371" width="13.85546875" customWidth="1"/>
    <col min="1372" max="1372" width="20.28515625" customWidth="1"/>
    <col min="1373" max="1373" width="11.7109375" customWidth="1"/>
    <col min="1374" max="1374" width="17.42578125" customWidth="1"/>
    <col min="1380" max="1380" width="11.42578125" customWidth="1"/>
    <col min="1381" max="1381" width="16" customWidth="1"/>
    <col min="1382" max="1382" width="12" customWidth="1"/>
    <col min="1383" max="1384" width="11.28515625" bestFit="1" customWidth="1"/>
    <col min="1385" max="1385" width="9.140625" bestFit="1" customWidth="1"/>
    <col min="1386" max="1386" width="10.28515625" bestFit="1" customWidth="1"/>
    <col min="1389" max="1389" width="11.28515625" bestFit="1" customWidth="1"/>
    <col min="1392" max="1392" width="10.7109375" bestFit="1" customWidth="1"/>
    <col min="1620" max="1620" width="17.28515625" customWidth="1"/>
    <col min="1621" max="1621" width="12.7109375" customWidth="1"/>
    <col min="1622" max="1622" width="14.7109375" customWidth="1"/>
    <col min="1623" max="1623" width="12.42578125" customWidth="1"/>
    <col min="1624" max="1624" width="12.28515625" customWidth="1"/>
    <col min="1625" max="1625" width="12.7109375" customWidth="1"/>
    <col min="1626" max="1626" width="12.42578125" customWidth="1"/>
    <col min="1627" max="1627" width="13.85546875" customWidth="1"/>
    <col min="1628" max="1628" width="20.28515625" customWidth="1"/>
    <col min="1629" max="1629" width="11.7109375" customWidth="1"/>
    <col min="1630" max="1630" width="17.42578125" customWidth="1"/>
    <col min="1636" max="1636" width="11.42578125" customWidth="1"/>
    <col min="1637" max="1637" width="16" customWidth="1"/>
    <col min="1638" max="1638" width="12" customWidth="1"/>
    <col min="1639" max="1640" width="11.28515625" bestFit="1" customWidth="1"/>
    <col min="1641" max="1641" width="9.140625" bestFit="1" customWidth="1"/>
    <col min="1642" max="1642" width="10.28515625" bestFit="1" customWidth="1"/>
    <col min="1645" max="1645" width="11.28515625" bestFit="1" customWidth="1"/>
    <col min="1648" max="1648" width="10.7109375" bestFit="1" customWidth="1"/>
    <col min="1876" max="1876" width="17.28515625" customWidth="1"/>
    <col min="1877" max="1877" width="12.7109375" customWidth="1"/>
    <col min="1878" max="1878" width="14.7109375" customWidth="1"/>
    <col min="1879" max="1879" width="12.42578125" customWidth="1"/>
    <col min="1880" max="1880" width="12.28515625" customWidth="1"/>
    <col min="1881" max="1881" width="12.7109375" customWidth="1"/>
    <col min="1882" max="1882" width="12.42578125" customWidth="1"/>
    <col min="1883" max="1883" width="13.85546875" customWidth="1"/>
    <col min="1884" max="1884" width="20.28515625" customWidth="1"/>
    <col min="1885" max="1885" width="11.7109375" customWidth="1"/>
    <col min="1886" max="1886" width="17.42578125" customWidth="1"/>
    <col min="1892" max="1892" width="11.42578125" customWidth="1"/>
    <col min="1893" max="1893" width="16" customWidth="1"/>
    <col min="1894" max="1894" width="12" customWidth="1"/>
    <col min="1895" max="1896" width="11.28515625" bestFit="1" customWidth="1"/>
    <col min="1897" max="1897" width="9.140625" bestFit="1" customWidth="1"/>
    <col min="1898" max="1898" width="10.28515625" bestFit="1" customWidth="1"/>
    <col min="1901" max="1901" width="11.28515625" bestFit="1" customWidth="1"/>
    <col min="1904" max="1904" width="10.7109375" bestFit="1" customWidth="1"/>
    <col min="2132" max="2132" width="17.28515625" customWidth="1"/>
    <col min="2133" max="2133" width="12.7109375" customWidth="1"/>
    <col min="2134" max="2134" width="14.7109375" customWidth="1"/>
    <col min="2135" max="2135" width="12.42578125" customWidth="1"/>
    <col min="2136" max="2136" width="12.28515625" customWidth="1"/>
    <col min="2137" max="2137" width="12.7109375" customWidth="1"/>
    <col min="2138" max="2138" width="12.42578125" customWidth="1"/>
    <col min="2139" max="2139" width="13.85546875" customWidth="1"/>
    <col min="2140" max="2140" width="20.28515625" customWidth="1"/>
    <col min="2141" max="2141" width="11.7109375" customWidth="1"/>
    <col min="2142" max="2142" width="17.42578125" customWidth="1"/>
    <col min="2148" max="2148" width="11.42578125" customWidth="1"/>
    <col min="2149" max="2149" width="16" customWidth="1"/>
    <col min="2150" max="2150" width="12" customWidth="1"/>
    <col min="2151" max="2152" width="11.28515625" bestFit="1" customWidth="1"/>
    <col min="2153" max="2153" width="9.140625" bestFit="1" customWidth="1"/>
    <col min="2154" max="2154" width="10.28515625" bestFit="1" customWidth="1"/>
    <col min="2157" max="2157" width="11.28515625" bestFit="1" customWidth="1"/>
    <col min="2160" max="2160" width="10.7109375" bestFit="1" customWidth="1"/>
    <col min="2388" max="2388" width="17.28515625" customWidth="1"/>
    <col min="2389" max="2389" width="12.7109375" customWidth="1"/>
    <col min="2390" max="2390" width="14.7109375" customWidth="1"/>
    <col min="2391" max="2391" width="12.42578125" customWidth="1"/>
    <col min="2392" max="2392" width="12.28515625" customWidth="1"/>
    <col min="2393" max="2393" width="12.7109375" customWidth="1"/>
    <col min="2394" max="2394" width="12.42578125" customWidth="1"/>
    <col min="2395" max="2395" width="13.85546875" customWidth="1"/>
    <col min="2396" max="2396" width="20.28515625" customWidth="1"/>
    <col min="2397" max="2397" width="11.7109375" customWidth="1"/>
    <col min="2398" max="2398" width="17.42578125" customWidth="1"/>
    <col min="2404" max="2404" width="11.42578125" customWidth="1"/>
    <col min="2405" max="2405" width="16" customWidth="1"/>
    <col min="2406" max="2406" width="12" customWidth="1"/>
    <col min="2407" max="2408" width="11.28515625" bestFit="1" customWidth="1"/>
    <col min="2409" max="2409" width="9.140625" bestFit="1" customWidth="1"/>
    <col min="2410" max="2410" width="10.28515625" bestFit="1" customWidth="1"/>
    <col min="2413" max="2413" width="11.28515625" bestFit="1" customWidth="1"/>
    <col min="2416" max="2416" width="10.7109375" bestFit="1" customWidth="1"/>
    <col min="2644" max="2644" width="17.28515625" customWidth="1"/>
    <col min="2645" max="2645" width="12.7109375" customWidth="1"/>
    <col min="2646" max="2646" width="14.7109375" customWidth="1"/>
    <col min="2647" max="2647" width="12.42578125" customWidth="1"/>
    <col min="2648" max="2648" width="12.28515625" customWidth="1"/>
    <col min="2649" max="2649" width="12.7109375" customWidth="1"/>
    <col min="2650" max="2650" width="12.42578125" customWidth="1"/>
    <col min="2651" max="2651" width="13.85546875" customWidth="1"/>
    <col min="2652" max="2652" width="20.28515625" customWidth="1"/>
    <col min="2653" max="2653" width="11.7109375" customWidth="1"/>
    <col min="2654" max="2654" width="17.42578125" customWidth="1"/>
    <col min="2660" max="2660" width="11.42578125" customWidth="1"/>
    <col min="2661" max="2661" width="16" customWidth="1"/>
    <col min="2662" max="2662" width="12" customWidth="1"/>
    <col min="2663" max="2664" width="11.28515625" bestFit="1" customWidth="1"/>
    <col min="2665" max="2665" width="9.140625" bestFit="1" customWidth="1"/>
    <col min="2666" max="2666" width="10.28515625" bestFit="1" customWidth="1"/>
    <col min="2669" max="2669" width="11.28515625" bestFit="1" customWidth="1"/>
    <col min="2672" max="2672" width="10.7109375" bestFit="1" customWidth="1"/>
    <col min="2900" max="2900" width="17.28515625" customWidth="1"/>
    <col min="2901" max="2901" width="12.7109375" customWidth="1"/>
    <col min="2902" max="2902" width="14.7109375" customWidth="1"/>
    <col min="2903" max="2903" width="12.42578125" customWidth="1"/>
    <col min="2904" max="2904" width="12.28515625" customWidth="1"/>
    <col min="2905" max="2905" width="12.7109375" customWidth="1"/>
    <col min="2906" max="2906" width="12.42578125" customWidth="1"/>
    <col min="2907" max="2907" width="13.85546875" customWidth="1"/>
    <col min="2908" max="2908" width="20.28515625" customWidth="1"/>
    <col min="2909" max="2909" width="11.7109375" customWidth="1"/>
    <col min="2910" max="2910" width="17.42578125" customWidth="1"/>
    <col min="2916" max="2916" width="11.42578125" customWidth="1"/>
    <col min="2917" max="2917" width="16" customWidth="1"/>
    <col min="2918" max="2918" width="12" customWidth="1"/>
    <col min="2919" max="2920" width="11.28515625" bestFit="1" customWidth="1"/>
    <col min="2921" max="2921" width="9.140625" bestFit="1" customWidth="1"/>
    <col min="2922" max="2922" width="10.28515625" bestFit="1" customWidth="1"/>
    <col min="2925" max="2925" width="11.28515625" bestFit="1" customWidth="1"/>
    <col min="2928" max="2928" width="10.7109375" bestFit="1" customWidth="1"/>
    <col min="3156" max="3156" width="17.28515625" customWidth="1"/>
    <col min="3157" max="3157" width="12.7109375" customWidth="1"/>
    <col min="3158" max="3158" width="14.7109375" customWidth="1"/>
    <col min="3159" max="3159" width="12.42578125" customWidth="1"/>
    <col min="3160" max="3160" width="12.28515625" customWidth="1"/>
    <col min="3161" max="3161" width="12.7109375" customWidth="1"/>
    <col min="3162" max="3162" width="12.42578125" customWidth="1"/>
    <col min="3163" max="3163" width="13.85546875" customWidth="1"/>
    <col min="3164" max="3164" width="20.28515625" customWidth="1"/>
    <col min="3165" max="3165" width="11.7109375" customWidth="1"/>
    <col min="3166" max="3166" width="17.42578125" customWidth="1"/>
    <col min="3172" max="3172" width="11.42578125" customWidth="1"/>
    <col min="3173" max="3173" width="16" customWidth="1"/>
    <col min="3174" max="3174" width="12" customWidth="1"/>
    <col min="3175" max="3176" width="11.28515625" bestFit="1" customWidth="1"/>
    <col min="3177" max="3177" width="9.140625" bestFit="1" customWidth="1"/>
    <col min="3178" max="3178" width="10.28515625" bestFit="1" customWidth="1"/>
    <col min="3181" max="3181" width="11.28515625" bestFit="1" customWidth="1"/>
    <col min="3184" max="3184" width="10.7109375" bestFit="1" customWidth="1"/>
    <col min="3412" max="3412" width="17.28515625" customWidth="1"/>
    <col min="3413" max="3413" width="12.7109375" customWidth="1"/>
    <col min="3414" max="3414" width="14.7109375" customWidth="1"/>
    <col min="3415" max="3415" width="12.42578125" customWidth="1"/>
    <col min="3416" max="3416" width="12.28515625" customWidth="1"/>
    <col min="3417" max="3417" width="12.7109375" customWidth="1"/>
    <col min="3418" max="3418" width="12.42578125" customWidth="1"/>
    <col min="3419" max="3419" width="13.85546875" customWidth="1"/>
    <col min="3420" max="3420" width="20.28515625" customWidth="1"/>
    <col min="3421" max="3421" width="11.7109375" customWidth="1"/>
    <col min="3422" max="3422" width="17.42578125" customWidth="1"/>
    <col min="3428" max="3428" width="11.42578125" customWidth="1"/>
    <col min="3429" max="3429" width="16" customWidth="1"/>
    <col min="3430" max="3430" width="12" customWidth="1"/>
    <col min="3431" max="3432" width="11.28515625" bestFit="1" customWidth="1"/>
    <col min="3433" max="3433" width="9.140625" bestFit="1" customWidth="1"/>
    <col min="3434" max="3434" width="10.28515625" bestFit="1" customWidth="1"/>
    <col min="3437" max="3437" width="11.28515625" bestFit="1" customWidth="1"/>
    <col min="3440" max="3440" width="10.7109375" bestFit="1" customWidth="1"/>
    <col min="3668" max="3668" width="17.28515625" customWidth="1"/>
    <col min="3669" max="3669" width="12.7109375" customWidth="1"/>
    <col min="3670" max="3670" width="14.7109375" customWidth="1"/>
    <col min="3671" max="3671" width="12.42578125" customWidth="1"/>
    <col min="3672" max="3672" width="12.28515625" customWidth="1"/>
    <col min="3673" max="3673" width="12.7109375" customWidth="1"/>
    <col min="3674" max="3674" width="12.42578125" customWidth="1"/>
    <col min="3675" max="3675" width="13.85546875" customWidth="1"/>
    <col min="3676" max="3676" width="20.28515625" customWidth="1"/>
    <col min="3677" max="3677" width="11.7109375" customWidth="1"/>
    <col min="3678" max="3678" width="17.42578125" customWidth="1"/>
    <col min="3684" max="3684" width="11.42578125" customWidth="1"/>
    <col min="3685" max="3685" width="16" customWidth="1"/>
    <col min="3686" max="3686" width="12" customWidth="1"/>
    <col min="3687" max="3688" width="11.28515625" bestFit="1" customWidth="1"/>
    <col min="3689" max="3689" width="9.140625" bestFit="1" customWidth="1"/>
    <col min="3690" max="3690" width="10.28515625" bestFit="1" customWidth="1"/>
    <col min="3693" max="3693" width="11.28515625" bestFit="1" customWidth="1"/>
    <col min="3696" max="3696" width="10.7109375" bestFit="1" customWidth="1"/>
    <col min="3924" max="3924" width="17.28515625" customWidth="1"/>
    <col min="3925" max="3925" width="12.7109375" customWidth="1"/>
    <col min="3926" max="3926" width="14.7109375" customWidth="1"/>
    <col min="3927" max="3927" width="12.42578125" customWidth="1"/>
    <col min="3928" max="3928" width="12.28515625" customWidth="1"/>
    <col min="3929" max="3929" width="12.7109375" customWidth="1"/>
    <col min="3930" max="3930" width="12.42578125" customWidth="1"/>
    <col min="3931" max="3931" width="13.85546875" customWidth="1"/>
    <col min="3932" max="3932" width="20.28515625" customWidth="1"/>
    <col min="3933" max="3933" width="11.7109375" customWidth="1"/>
    <col min="3934" max="3934" width="17.42578125" customWidth="1"/>
    <col min="3940" max="3940" width="11.42578125" customWidth="1"/>
    <col min="3941" max="3941" width="16" customWidth="1"/>
    <col min="3942" max="3942" width="12" customWidth="1"/>
    <col min="3943" max="3944" width="11.28515625" bestFit="1" customWidth="1"/>
    <col min="3945" max="3945" width="9.140625" bestFit="1" customWidth="1"/>
    <col min="3946" max="3946" width="10.28515625" bestFit="1" customWidth="1"/>
    <col min="3949" max="3949" width="11.28515625" bestFit="1" customWidth="1"/>
    <col min="3952" max="3952" width="10.7109375" bestFit="1" customWidth="1"/>
    <col min="4180" max="4180" width="17.28515625" customWidth="1"/>
    <col min="4181" max="4181" width="12.7109375" customWidth="1"/>
    <col min="4182" max="4182" width="14.7109375" customWidth="1"/>
    <col min="4183" max="4183" width="12.42578125" customWidth="1"/>
    <col min="4184" max="4184" width="12.28515625" customWidth="1"/>
    <col min="4185" max="4185" width="12.7109375" customWidth="1"/>
    <col min="4186" max="4186" width="12.42578125" customWidth="1"/>
    <col min="4187" max="4187" width="13.85546875" customWidth="1"/>
    <col min="4188" max="4188" width="20.28515625" customWidth="1"/>
    <col min="4189" max="4189" width="11.7109375" customWidth="1"/>
    <col min="4190" max="4190" width="17.42578125" customWidth="1"/>
    <col min="4196" max="4196" width="11.42578125" customWidth="1"/>
    <col min="4197" max="4197" width="16" customWidth="1"/>
    <col min="4198" max="4198" width="12" customWidth="1"/>
    <col min="4199" max="4200" width="11.28515625" bestFit="1" customWidth="1"/>
    <col min="4201" max="4201" width="9.140625" bestFit="1" customWidth="1"/>
    <col min="4202" max="4202" width="10.28515625" bestFit="1" customWidth="1"/>
    <col min="4205" max="4205" width="11.28515625" bestFit="1" customWidth="1"/>
    <col min="4208" max="4208" width="10.7109375" bestFit="1" customWidth="1"/>
    <col min="4436" max="4436" width="17.28515625" customWidth="1"/>
    <col min="4437" max="4437" width="12.7109375" customWidth="1"/>
    <col min="4438" max="4438" width="14.7109375" customWidth="1"/>
    <col min="4439" max="4439" width="12.42578125" customWidth="1"/>
    <col min="4440" max="4440" width="12.28515625" customWidth="1"/>
    <col min="4441" max="4441" width="12.7109375" customWidth="1"/>
    <col min="4442" max="4442" width="12.42578125" customWidth="1"/>
    <col min="4443" max="4443" width="13.85546875" customWidth="1"/>
    <col min="4444" max="4444" width="20.28515625" customWidth="1"/>
    <col min="4445" max="4445" width="11.7109375" customWidth="1"/>
    <col min="4446" max="4446" width="17.42578125" customWidth="1"/>
    <col min="4452" max="4452" width="11.42578125" customWidth="1"/>
    <col min="4453" max="4453" width="16" customWidth="1"/>
    <col min="4454" max="4454" width="12" customWidth="1"/>
    <col min="4455" max="4456" width="11.28515625" bestFit="1" customWidth="1"/>
    <col min="4457" max="4457" width="9.140625" bestFit="1" customWidth="1"/>
    <col min="4458" max="4458" width="10.28515625" bestFit="1" customWidth="1"/>
    <col min="4461" max="4461" width="11.28515625" bestFit="1" customWidth="1"/>
    <col min="4464" max="4464" width="10.7109375" bestFit="1" customWidth="1"/>
    <col min="4692" max="4692" width="17.28515625" customWidth="1"/>
    <col min="4693" max="4693" width="12.7109375" customWidth="1"/>
    <col min="4694" max="4694" width="14.7109375" customWidth="1"/>
    <col min="4695" max="4695" width="12.42578125" customWidth="1"/>
    <col min="4696" max="4696" width="12.28515625" customWidth="1"/>
    <col min="4697" max="4697" width="12.7109375" customWidth="1"/>
    <col min="4698" max="4698" width="12.42578125" customWidth="1"/>
    <col min="4699" max="4699" width="13.85546875" customWidth="1"/>
    <col min="4700" max="4700" width="20.28515625" customWidth="1"/>
    <col min="4701" max="4701" width="11.7109375" customWidth="1"/>
    <col min="4702" max="4702" width="17.42578125" customWidth="1"/>
    <col min="4708" max="4708" width="11.42578125" customWidth="1"/>
    <col min="4709" max="4709" width="16" customWidth="1"/>
    <col min="4710" max="4710" width="12" customWidth="1"/>
    <col min="4711" max="4712" width="11.28515625" bestFit="1" customWidth="1"/>
    <col min="4713" max="4713" width="9.140625" bestFit="1" customWidth="1"/>
    <col min="4714" max="4714" width="10.28515625" bestFit="1" customWidth="1"/>
    <col min="4717" max="4717" width="11.28515625" bestFit="1" customWidth="1"/>
    <col min="4720" max="4720" width="10.7109375" bestFit="1" customWidth="1"/>
    <col min="4948" max="4948" width="17.28515625" customWidth="1"/>
    <col min="4949" max="4949" width="12.7109375" customWidth="1"/>
    <col min="4950" max="4950" width="14.7109375" customWidth="1"/>
    <col min="4951" max="4951" width="12.42578125" customWidth="1"/>
    <col min="4952" max="4952" width="12.28515625" customWidth="1"/>
    <col min="4953" max="4953" width="12.7109375" customWidth="1"/>
    <col min="4954" max="4954" width="12.42578125" customWidth="1"/>
    <col min="4955" max="4955" width="13.85546875" customWidth="1"/>
    <col min="4956" max="4956" width="20.28515625" customWidth="1"/>
    <col min="4957" max="4957" width="11.7109375" customWidth="1"/>
    <col min="4958" max="4958" width="17.42578125" customWidth="1"/>
    <col min="4964" max="4964" width="11.42578125" customWidth="1"/>
    <col min="4965" max="4965" width="16" customWidth="1"/>
    <col min="4966" max="4966" width="12" customWidth="1"/>
    <col min="4967" max="4968" width="11.28515625" bestFit="1" customWidth="1"/>
    <col min="4969" max="4969" width="9.140625" bestFit="1" customWidth="1"/>
    <col min="4970" max="4970" width="10.28515625" bestFit="1" customWidth="1"/>
    <col min="4973" max="4973" width="11.28515625" bestFit="1" customWidth="1"/>
    <col min="4976" max="4976" width="10.7109375" bestFit="1" customWidth="1"/>
    <col min="5204" max="5204" width="17.28515625" customWidth="1"/>
    <col min="5205" max="5205" width="12.7109375" customWidth="1"/>
    <col min="5206" max="5206" width="14.7109375" customWidth="1"/>
    <col min="5207" max="5207" width="12.42578125" customWidth="1"/>
    <col min="5208" max="5208" width="12.28515625" customWidth="1"/>
    <col min="5209" max="5209" width="12.7109375" customWidth="1"/>
    <col min="5210" max="5210" width="12.42578125" customWidth="1"/>
    <col min="5211" max="5211" width="13.85546875" customWidth="1"/>
    <col min="5212" max="5212" width="20.28515625" customWidth="1"/>
    <col min="5213" max="5213" width="11.7109375" customWidth="1"/>
    <col min="5214" max="5214" width="17.42578125" customWidth="1"/>
    <col min="5220" max="5220" width="11.42578125" customWidth="1"/>
    <col min="5221" max="5221" width="16" customWidth="1"/>
    <col min="5222" max="5222" width="12" customWidth="1"/>
    <col min="5223" max="5224" width="11.28515625" bestFit="1" customWidth="1"/>
    <col min="5225" max="5225" width="9.140625" bestFit="1" customWidth="1"/>
    <col min="5226" max="5226" width="10.28515625" bestFit="1" customWidth="1"/>
    <col min="5229" max="5229" width="11.28515625" bestFit="1" customWidth="1"/>
    <col min="5232" max="5232" width="10.7109375" bestFit="1" customWidth="1"/>
    <col min="5460" max="5460" width="17.28515625" customWidth="1"/>
    <col min="5461" max="5461" width="12.7109375" customWidth="1"/>
    <col min="5462" max="5462" width="14.7109375" customWidth="1"/>
    <col min="5463" max="5463" width="12.42578125" customWidth="1"/>
    <col min="5464" max="5464" width="12.28515625" customWidth="1"/>
    <col min="5465" max="5465" width="12.7109375" customWidth="1"/>
    <col min="5466" max="5466" width="12.42578125" customWidth="1"/>
    <col min="5467" max="5467" width="13.85546875" customWidth="1"/>
    <col min="5468" max="5468" width="20.28515625" customWidth="1"/>
    <col min="5469" max="5469" width="11.7109375" customWidth="1"/>
    <col min="5470" max="5470" width="17.42578125" customWidth="1"/>
    <col min="5476" max="5476" width="11.42578125" customWidth="1"/>
    <col min="5477" max="5477" width="16" customWidth="1"/>
    <col min="5478" max="5478" width="12" customWidth="1"/>
    <col min="5479" max="5480" width="11.28515625" bestFit="1" customWidth="1"/>
    <col min="5481" max="5481" width="9.140625" bestFit="1" customWidth="1"/>
    <col min="5482" max="5482" width="10.28515625" bestFit="1" customWidth="1"/>
    <col min="5485" max="5485" width="11.28515625" bestFit="1" customWidth="1"/>
    <col min="5488" max="5488" width="10.7109375" bestFit="1" customWidth="1"/>
    <col min="5716" max="5716" width="17.28515625" customWidth="1"/>
    <col min="5717" max="5717" width="12.7109375" customWidth="1"/>
    <col min="5718" max="5718" width="14.7109375" customWidth="1"/>
    <col min="5719" max="5719" width="12.42578125" customWidth="1"/>
    <col min="5720" max="5720" width="12.28515625" customWidth="1"/>
    <col min="5721" max="5721" width="12.7109375" customWidth="1"/>
    <col min="5722" max="5722" width="12.42578125" customWidth="1"/>
    <col min="5723" max="5723" width="13.85546875" customWidth="1"/>
    <col min="5724" max="5724" width="20.28515625" customWidth="1"/>
    <col min="5725" max="5725" width="11.7109375" customWidth="1"/>
    <col min="5726" max="5726" width="17.42578125" customWidth="1"/>
    <col min="5732" max="5732" width="11.42578125" customWidth="1"/>
    <col min="5733" max="5733" width="16" customWidth="1"/>
    <col min="5734" max="5734" width="12" customWidth="1"/>
    <col min="5735" max="5736" width="11.28515625" bestFit="1" customWidth="1"/>
    <col min="5737" max="5737" width="9.140625" bestFit="1" customWidth="1"/>
    <col min="5738" max="5738" width="10.28515625" bestFit="1" customWidth="1"/>
    <col min="5741" max="5741" width="11.28515625" bestFit="1" customWidth="1"/>
    <col min="5744" max="5744" width="10.7109375" bestFit="1" customWidth="1"/>
    <col min="5972" max="5972" width="17.28515625" customWidth="1"/>
    <col min="5973" max="5973" width="12.7109375" customWidth="1"/>
    <col min="5974" max="5974" width="14.7109375" customWidth="1"/>
    <col min="5975" max="5975" width="12.42578125" customWidth="1"/>
    <col min="5976" max="5976" width="12.28515625" customWidth="1"/>
    <col min="5977" max="5977" width="12.7109375" customWidth="1"/>
    <col min="5978" max="5978" width="12.42578125" customWidth="1"/>
    <col min="5979" max="5979" width="13.85546875" customWidth="1"/>
    <col min="5980" max="5980" width="20.28515625" customWidth="1"/>
    <col min="5981" max="5981" width="11.7109375" customWidth="1"/>
    <col min="5982" max="5982" width="17.42578125" customWidth="1"/>
    <col min="5988" max="5988" width="11.42578125" customWidth="1"/>
    <col min="5989" max="5989" width="16" customWidth="1"/>
    <col min="5990" max="5990" width="12" customWidth="1"/>
    <col min="5991" max="5992" width="11.28515625" bestFit="1" customWidth="1"/>
    <col min="5993" max="5993" width="9.140625" bestFit="1" customWidth="1"/>
    <col min="5994" max="5994" width="10.28515625" bestFit="1" customWidth="1"/>
    <col min="5997" max="5997" width="11.28515625" bestFit="1" customWidth="1"/>
    <col min="6000" max="6000" width="10.7109375" bestFit="1" customWidth="1"/>
    <col min="6228" max="6228" width="17.28515625" customWidth="1"/>
    <col min="6229" max="6229" width="12.7109375" customWidth="1"/>
    <col min="6230" max="6230" width="14.7109375" customWidth="1"/>
    <col min="6231" max="6231" width="12.42578125" customWidth="1"/>
    <col min="6232" max="6232" width="12.28515625" customWidth="1"/>
    <col min="6233" max="6233" width="12.7109375" customWidth="1"/>
    <col min="6234" max="6234" width="12.42578125" customWidth="1"/>
    <col min="6235" max="6235" width="13.85546875" customWidth="1"/>
    <col min="6236" max="6236" width="20.28515625" customWidth="1"/>
    <col min="6237" max="6237" width="11.7109375" customWidth="1"/>
    <col min="6238" max="6238" width="17.42578125" customWidth="1"/>
    <col min="6244" max="6244" width="11.42578125" customWidth="1"/>
    <col min="6245" max="6245" width="16" customWidth="1"/>
    <col min="6246" max="6246" width="12" customWidth="1"/>
    <col min="6247" max="6248" width="11.28515625" bestFit="1" customWidth="1"/>
    <col min="6249" max="6249" width="9.140625" bestFit="1" customWidth="1"/>
    <col min="6250" max="6250" width="10.28515625" bestFit="1" customWidth="1"/>
    <col min="6253" max="6253" width="11.28515625" bestFit="1" customWidth="1"/>
    <col min="6256" max="6256" width="10.7109375" bestFit="1" customWidth="1"/>
    <col min="6484" max="6484" width="17.28515625" customWidth="1"/>
    <col min="6485" max="6485" width="12.7109375" customWidth="1"/>
    <col min="6486" max="6486" width="14.7109375" customWidth="1"/>
    <col min="6487" max="6487" width="12.42578125" customWidth="1"/>
    <col min="6488" max="6488" width="12.28515625" customWidth="1"/>
    <col min="6489" max="6489" width="12.7109375" customWidth="1"/>
    <col min="6490" max="6490" width="12.42578125" customWidth="1"/>
    <col min="6491" max="6491" width="13.85546875" customWidth="1"/>
    <col min="6492" max="6492" width="20.28515625" customWidth="1"/>
    <col min="6493" max="6493" width="11.7109375" customWidth="1"/>
    <col min="6494" max="6494" width="17.42578125" customWidth="1"/>
    <col min="6500" max="6500" width="11.42578125" customWidth="1"/>
    <col min="6501" max="6501" width="16" customWidth="1"/>
    <col min="6502" max="6502" width="12" customWidth="1"/>
    <col min="6503" max="6504" width="11.28515625" bestFit="1" customWidth="1"/>
    <col min="6505" max="6505" width="9.140625" bestFit="1" customWidth="1"/>
    <col min="6506" max="6506" width="10.28515625" bestFit="1" customWidth="1"/>
    <col min="6509" max="6509" width="11.28515625" bestFit="1" customWidth="1"/>
    <col min="6512" max="6512" width="10.7109375" bestFit="1" customWidth="1"/>
    <col min="6740" max="6740" width="17.28515625" customWidth="1"/>
    <col min="6741" max="6741" width="12.7109375" customWidth="1"/>
    <col min="6742" max="6742" width="14.7109375" customWidth="1"/>
    <col min="6743" max="6743" width="12.42578125" customWidth="1"/>
    <col min="6744" max="6744" width="12.28515625" customWidth="1"/>
    <col min="6745" max="6745" width="12.7109375" customWidth="1"/>
    <col min="6746" max="6746" width="12.42578125" customWidth="1"/>
    <col min="6747" max="6747" width="13.85546875" customWidth="1"/>
    <col min="6748" max="6748" width="20.28515625" customWidth="1"/>
    <col min="6749" max="6749" width="11.7109375" customWidth="1"/>
    <col min="6750" max="6750" width="17.42578125" customWidth="1"/>
    <col min="6756" max="6756" width="11.42578125" customWidth="1"/>
    <col min="6757" max="6757" width="16" customWidth="1"/>
    <col min="6758" max="6758" width="12" customWidth="1"/>
    <col min="6759" max="6760" width="11.28515625" bestFit="1" customWidth="1"/>
    <col min="6761" max="6761" width="9.140625" bestFit="1" customWidth="1"/>
    <col min="6762" max="6762" width="10.28515625" bestFit="1" customWidth="1"/>
    <col min="6765" max="6765" width="11.28515625" bestFit="1" customWidth="1"/>
    <col min="6768" max="6768" width="10.7109375" bestFit="1" customWidth="1"/>
    <col min="6996" max="6996" width="17.28515625" customWidth="1"/>
    <col min="6997" max="6997" width="12.7109375" customWidth="1"/>
    <col min="6998" max="6998" width="14.7109375" customWidth="1"/>
    <col min="6999" max="6999" width="12.42578125" customWidth="1"/>
    <col min="7000" max="7000" width="12.28515625" customWidth="1"/>
    <col min="7001" max="7001" width="12.7109375" customWidth="1"/>
    <col min="7002" max="7002" width="12.42578125" customWidth="1"/>
    <col min="7003" max="7003" width="13.85546875" customWidth="1"/>
    <col min="7004" max="7004" width="20.28515625" customWidth="1"/>
    <col min="7005" max="7005" width="11.7109375" customWidth="1"/>
    <col min="7006" max="7006" width="17.42578125" customWidth="1"/>
    <col min="7012" max="7012" width="11.42578125" customWidth="1"/>
    <col min="7013" max="7013" width="16" customWidth="1"/>
    <col min="7014" max="7014" width="12" customWidth="1"/>
    <col min="7015" max="7016" width="11.28515625" bestFit="1" customWidth="1"/>
    <col min="7017" max="7017" width="9.140625" bestFit="1" customWidth="1"/>
    <col min="7018" max="7018" width="10.28515625" bestFit="1" customWidth="1"/>
    <col min="7021" max="7021" width="11.28515625" bestFit="1" customWidth="1"/>
    <col min="7024" max="7024" width="10.7109375" bestFit="1" customWidth="1"/>
    <col min="7252" max="7252" width="17.28515625" customWidth="1"/>
    <col min="7253" max="7253" width="12.7109375" customWidth="1"/>
    <col min="7254" max="7254" width="14.7109375" customWidth="1"/>
    <col min="7255" max="7255" width="12.42578125" customWidth="1"/>
    <col min="7256" max="7256" width="12.28515625" customWidth="1"/>
    <col min="7257" max="7257" width="12.7109375" customWidth="1"/>
    <col min="7258" max="7258" width="12.42578125" customWidth="1"/>
    <col min="7259" max="7259" width="13.85546875" customWidth="1"/>
    <col min="7260" max="7260" width="20.28515625" customWidth="1"/>
    <col min="7261" max="7261" width="11.7109375" customWidth="1"/>
    <col min="7262" max="7262" width="17.42578125" customWidth="1"/>
    <col min="7268" max="7268" width="11.42578125" customWidth="1"/>
    <col min="7269" max="7269" width="16" customWidth="1"/>
    <col min="7270" max="7270" width="12" customWidth="1"/>
    <col min="7271" max="7272" width="11.28515625" bestFit="1" customWidth="1"/>
    <col min="7273" max="7273" width="9.140625" bestFit="1" customWidth="1"/>
    <col min="7274" max="7274" width="10.28515625" bestFit="1" customWidth="1"/>
    <col min="7277" max="7277" width="11.28515625" bestFit="1" customWidth="1"/>
    <col min="7280" max="7280" width="10.7109375" bestFit="1" customWidth="1"/>
    <col min="7508" max="7508" width="17.28515625" customWidth="1"/>
    <col min="7509" max="7509" width="12.7109375" customWidth="1"/>
    <col min="7510" max="7510" width="14.7109375" customWidth="1"/>
    <col min="7511" max="7511" width="12.42578125" customWidth="1"/>
    <col min="7512" max="7512" width="12.28515625" customWidth="1"/>
    <col min="7513" max="7513" width="12.7109375" customWidth="1"/>
    <col min="7514" max="7514" width="12.42578125" customWidth="1"/>
    <col min="7515" max="7515" width="13.85546875" customWidth="1"/>
    <col min="7516" max="7516" width="20.28515625" customWidth="1"/>
    <col min="7517" max="7517" width="11.7109375" customWidth="1"/>
    <col min="7518" max="7518" width="17.42578125" customWidth="1"/>
    <col min="7524" max="7524" width="11.42578125" customWidth="1"/>
    <col min="7525" max="7525" width="16" customWidth="1"/>
    <col min="7526" max="7526" width="12" customWidth="1"/>
    <col min="7527" max="7528" width="11.28515625" bestFit="1" customWidth="1"/>
    <col min="7529" max="7529" width="9.140625" bestFit="1" customWidth="1"/>
    <col min="7530" max="7530" width="10.28515625" bestFit="1" customWidth="1"/>
    <col min="7533" max="7533" width="11.28515625" bestFit="1" customWidth="1"/>
    <col min="7536" max="7536" width="10.7109375" bestFit="1" customWidth="1"/>
    <col min="7764" max="7764" width="17.28515625" customWidth="1"/>
    <col min="7765" max="7765" width="12.7109375" customWidth="1"/>
    <col min="7766" max="7766" width="14.7109375" customWidth="1"/>
    <col min="7767" max="7767" width="12.42578125" customWidth="1"/>
    <col min="7768" max="7768" width="12.28515625" customWidth="1"/>
    <col min="7769" max="7769" width="12.7109375" customWidth="1"/>
    <col min="7770" max="7770" width="12.42578125" customWidth="1"/>
    <col min="7771" max="7771" width="13.85546875" customWidth="1"/>
    <col min="7772" max="7772" width="20.28515625" customWidth="1"/>
    <col min="7773" max="7773" width="11.7109375" customWidth="1"/>
    <col min="7774" max="7774" width="17.42578125" customWidth="1"/>
    <col min="7780" max="7780" width="11.42578125" customWidth="1"/>
    <col min="7781" max="7781" width="16" customWidth="1"/>
    <col min="7782" max="7782" width="12" customWidth="1"/>
    <col min="7783" max="7784" width="11.28515625" bestFit="1" customWidth="1"/>
    <col min="7785" max="7785" width="9.140625" bestFit="1" customWidth="1"/>
    <col min="7786" max="7786" width="10.28515625" bestFit="1" customWidth="1"/>
    <col min="7789" max="7789" width="11.28515625" bestFit="1" customWidth="1"/>
    <col min="7792" max="7792" width="10.7109375" bestFit="1" customWidth="1"/>
    <col min="8020" max="8020" width="17.28515625" customWidth="1"/>
    <col min="8021" max="8021" width="12.7109375" customWidth="1"/>
    <col min="8022" max="8022" width="14.7109375" customWidth="1"/>
    <col min="8023" max="8023" width="12.42578125" customWidth="1"/>
    <col min="8024" max="8024" width="12.28515625" customWidth="1"/>
    <col min="8025" max="8025" width="12.7109375" customWidth="1"/>
    <col min="8026" max="8026" width="12.42578125" customWidth="1"/>
    <col min="8027" max="8027" width="13.85546875" customWidth="1"/>
    <col min="8028" max="8028" width="20.28515625" customWidth="1"/>
    <col min="8029" max="8029" width="11.7109375" customWidth="1"/>
    <col min="8030" max="8030" width="17.42578125" customWidth="1"/>
    <col min="8036" max="8036" width="11.42578125" customWidth="1"/>
    <col min="8037" max="8037" width="16" customWidth="1"/>
    <col min="8038" max="8038" width="12" customWidth="1"/>
    <col min="8039" max="8040" width="11.28515625" bestFit="1" customWidth="1"/>
    <col min="8041" max="8041" width="9.140625" bestFit="1" customWidth="1"/>
    <col min="8042" max="8042" width="10.28515625" bestFit="1" customWidth="1"/>
    <col min="8045" max="8045" width="11.28515625" bestFit="1" customWidth="1"/>
    <col min="8048" max="8048" width="10.7109375" bestFit="1" customWidth="1"/>
    <col min="8276" max="8276" width="17.28515625" customWidth="1"/>
    <col min="8277" max="8277" width="12.7109375" customWidth="1"/>
    <col min="8278" max="8278" width="14.7109375" customWidth="1"/>
    <col min="8279" max="8279" width="12.42578125" customWidth="1"/>
    <col min="8280" max="8280" width="12.28515625" customWidth="1"/>
    <col min="8281" max="8281" width="12.7109375" customWidth="1"/>
    <col min="8282" max="8282" width="12.42578125" customWidth="1"/>
    <col min="8283" max="8283" width="13.85546875" customWidth="1"/>
    <col min="8284" max="8284" width="20.28515625" customWidth="1"/>
    <col min="8285" max="8285" width="11.7109375" customWidth="1"/>
    <col min="8286" max="8286" width="17.42578125" customWidth="1"/>
    <col min="8292" max="8292" width="11.42578125" customWidth="1"/>
    <col min="8293" max="8293" width="16" customWidth="1"/>
    <col min="8294" max="8294" width="12" customWidth="1"/>
    <col min="8295" max="8296" width="11.28515625" bestFit="1" customWidth="1"/>
    <col min="8297" max="8297" width="9.140625" bestFit="1" customWidth="1"/>
    <col min="8298" max="8298" width="10.28515625" bestFit="1" customWidth="1"/>
    <col min="8301" max="8301" width="11.28515625" bestFit="1" customWidth="1"/>
    <col min="8304" max="8304" width="10.7109375" bestFit="1" customWidth="1"/>
    <col min="8532" max="8532" width="17.28515625" customWidth="1"/>
    <col min="8533" max="8533" width="12.7109375" customWidth="1"/>
    <col min="8534" max="8534" width="14.7109375" customWidth="1"/>
    <col min="8535" max="8535" width="12.42578125" customWidth="1"/>
    <col min="8536" max="8536" width="12.28515625" customWidth="1"/>
    <col min="8537" max="8537" width="12.7109375" customWidth="1"/>
    <col min="8538" max="8538" width="12.42578125" customWidth="1"/>
    <col min="8539" max="8539" width="13.85546875" customWidth="1"/>
    <col min="8540" max="8540" width="20.28515625" customWidth="1"/>
    <col min="8541" max="8541" width="11.7109375" customWidth="1"/>
    <col min="8542" max="8542" width="17.42578125" customWidth="1"/>
    <col min="8548" max="8548" width="11.42578125" customWidth="1"/>
    <col min="8549" max="8549" width="16" customWidth="1"/>
    <col min="8550" max="8550" width="12" customWidth="1"/>
    <col min="8551" max="8552" width="11.28515625" bestFit="1" customWidth="1"/>
    <col min="8553" max="8553" width="9.140625" bestFit="1" customWidth="1"/>
    <col min="8554" max="8554" width="10.28515625" bestFit="1" customWidth="1"/>
    <col min="8557" max="8557" width="11.28515625" bestFit="1" customWidth="1"/>
    <col min="8560" max="8560" width="10.7109375" bestFit="1" customWidth="1"/>
    <col min="8788" max="8788" width="17.28515625" customWidth="1"/>
    <col min="8789" max="8789" width="12.7109375" customWidth="1"/>
    <col min="8790" max="8790" width="14.7109375" customWidth="1"/>
    <col min="8791" max="8791" width="12.42578125" customWidth="1"/>
    <col min="8792" max="8792" width="12.28515625" customWidth="1"/>
    <col min="8793" max="8793" width="12.7109375" customWidth="1"/>
    <col min="8794" max="8794" width="12.42578125" customWidth="1"/>
    <col min="8795" max="8795" width="13.85546875" customWidth="1"/>
    <col min="8796" max="8796" width="20.28515625" customWidth="1"/>
    <col min="8797" max="8797" width="11.7109375" customWidth="1"/>
    <col min="8798" max="8798" width="17.42578125" customWidth="1"/>
    <col min="8804" max="8804" width="11.42578125" customWidth="1"/>
    <col min="8805" max="8805" width="16" customWidth="1"/>
    <col min="8806" max="8806" width="12" customWidth="1"/>
    <col min="8807" max="8808" width="11.28515625" bestFit="1" customWidth="1"/>
    <col min="8809" max="8809" width="9.140625" bestFit="1" customWidth="1"/>
    <col min="8810" max="8810" width="10.28515625" bestFit="1" customWidth="1"/>
    <col min="8813" max="8813" width="11.28515625" bestFit="1" customWidth="1"/>
    <col min="8816" max="8816" width="10.7109375" bestFit="1" customWidth="1"/>
    <col min="9044" max="9044" width="17.28515625" customWidth="1"/>
    <col min="9045" max="9045" width="12.7109375" customWidth="1"/>
    <col min="9046" max="9046" width="14.7109375" customWidth="1"/>
    <col min="9047" max="9047" width="12.42578125" customWidth="1"/>
    <col min="9048" max="9048" width="12.28515625" customWidth="1"/>
    <col min="9049" max="9049" width="12.7109375" customWidth="1"/>
    <col min="9050" max="9050" width="12.42578125" customWidth="1"/>
    <col min="9051" max="9051" width="13.85546875" customWidth="1"/>
    <col min="9052" max="9052" width="20.28515625" customWidth="1"/>
    <col min="9053" max="9053" width="11.7109375" customWidth="1"/>
    <col min="9054" max="9054" width="17.42578125" customWidth="1"/>
    <col min="9060" max="9060" width="11.42578125" customWidth="1"/>
    <col min="9061" max="9061" width="16" customWidth="1"/>
    <col min="9062" max="9062" width="12" customWidth="1"/>
    <col min="9063" max="9064" width="11.28515625" bestFit="1" customWidth="1"/>
    <col min="9065" max="9065" width="9.140625" bestFit="1" customWidth="1"/>
    <col min="9066" max="9066" width="10.28515625" bestFit="1" customWidth="1"/>
    <col min="9069" max="9069" width="11.28515625" bestFit="1" customWidth="1"/>
    <col min="9072" max="9072" width="10.7109375" bestFit="1" customWidth="1"/>
    <col min="9300" max="9300" width="17.28515625" customWidth="1"/>
    <col min="9301" max="9301" width="12.7109375" customWidth="1"/>
    <col min="9302" max="9302" width="14.7109375" customWidth="1"/>
    <col min="9303" max="9303" width="12.42578125" customWidth="1"/>
    <col min="9304" max="9304" width="12.28515625" customWidth="1"/>
    <col min="9305" max="9305" width="12.7109375" customWidth="1"/>
    <col min="9306" max="9306" width="12.42578125" customWidth="1"/>
    <col min="9307" max="9307" width="13.85546875" customWidth="1"/>
    <col min="9308" max="9308" width="20.28515625" customWidth="1"/>
    <col min="9309" max="9309" width="11.7109375" customWidth="1"/>
    <col min="9310" max="9310" width="17.42578125" customWidth="1"/>
    <col min="9316" max="9316" width="11.42578125" customWidth="1"/>
    <col min="9317" max="9317" width="16" customWidth="1"/>
    <col min="9318" max="9318" width="12" customWidth="1"/>
    <col min="9319" max="9320" width="11.28515625" bestFit="1" customWidth="1"/>
    <col min="9321" max="9321" width="9.140625" bestFit="1" customWidth="1"/>
    <col min="9322" max="9322" width="10.28515625" bestFit="1" customWidth="1"/>
    <col min="9325" max="9325" width="11.28515625" bestFit="1" customWidth="1"/>
    <col min="9328" max="9328" width="10.7109375" bestFit="1" customWidth="1"/>
    <col min="9556" max="9556" width="17.28515625" customWidth="1"/>
    <col min="9557" max="9557" width="12.7109375" customWidth="1"/>
    <col min="9558" max="9558" width="14.7109375" customWidth="1"/>
    <col min="9559" max="9559" width="12.42578125" customWidth="1"/>
    <col min="9560" max="9560" width="12.28515625" customWidth="1"/>
    <col min="9561" max="9561" width="12.7109375" customWidth="1"/>
    <col min="9562" max="9562" width="12.42578125" customWidth="1"/>
    <col min="9563" max="9563" width="13.85546875" customWidth="1"/>
    <col min="9564" max="9564" width="20.28515625" customWidth="1"/>
    <col min="9565" max="9565" width="11.7109375" customWidth="1"/>
    <col min="9566" max="9566" width="17.42578125" customWidth="1"/>
    <col min="9572" max="9572" width="11.42578125" customWidth="1"/>
    <col min="9573" max="9573" width="16" customWidth="1"/>
    <col min="9574" max="9574" width="12" customWidth="1"/>
    <col min="9575" max="9576" width="11.28515625" bestFit="1" customWidth="1"/>
    <col min="9577" max="9577" width="9.140625" bestFit="1" customWidth="1"/>
    <col min="9578" max="9578" width="10.28515625" bestFit="1" customWidth="1"/>
    <col min="9581" max="9581" width="11.28515625" bestFit="1" customWidth="1"/>
    <col min="9584" max="9584" width="10.7109375" bestFit="1" customWidth="1"/>
    <col min="9812" max="9812" width="17.28515625" customWidth="1"/>
    <col min="9813" max="9813" width="12.7109375" customWidth="1"/>
    <col min="9814" max="9814" width="14.7109375" customWidth="1"/>
    <col min="9815" max="9815" width="12.42578125" customWidth="1"/>
    <col min="9816" max="9816" width="12.28515625" customWidth="1"/>
    <col min="9817" max="9817" width="12.7109375" customWidth="1"/>
    <col min="9818" max="9818" width="12.42578125" customWidth="1"/>
    <col min="9819" max="9819" width="13.85546875" customWidth="1"/>
    <col min="9820" max="9820" width="20.28515625" customWidth="1"/>
    <col min="9821" max="9821" width="11.7109375" customWidth="1"/>
    <col min="9822" max="9822" width="17.42578125" customWidth="1"/>
    <col min="9828" max="9828" width="11.42578125" customWidth="1"/>
    <col min="9829" max="9829" width="16" customWidth="1"/>
    <col min="9830" max="9830" width="12" customWidth="1"/>
    <col min="9831" max="9832" width="11.28515625" bestFit="1" customWidth="1"/>
    <col min="9833" max="9833" width="9.140625" bestFit="1" customWidth="1"/>
    <col min="9834" max="9834" width="10.28515625" bestFit="1" customWidth="1"/>
    <col min="9837" max="9837" width="11.28515625" bestFit="1" customWidth="1"/>
    <col min="9840" max="9840" width="10.7109375" bestFit="1" customWidth="1"/>
    <col min="10068" max="10068" width="17.28515625" customWidth="1"/>
    <col min="10069" max="10069" width="12.7109375" customWidth="1"/>
    <col min="10070" max="10070" width="14.7109375" customWidth="1"/>
    <col min="10071" max="10071" width="12.42578125" customWidth="1"/>
    <col min="10072" max="10072" width="12.28515625" customWidth="1"/>
    <col min="10073" max="10073" width="12.7109375" customWidth="1"/>
    <col min="10074" max="10074" width="12.42578125" customWidth="1"/>
    <col min="10075" max="10075" width="13.85546875" customWidth="1"/>
    <col min="10076" max="10076" width="20.28515625" customWidth="1"/>
    <col min="10077" max="10077" width="11.7109375" customWidth="1"/>
    <col min="10078" max="10078" width="17.42578125" customWidth="1"/>
    <col min="10084" max="10084" width="11.42578125" customWidth="1"/>
    <col min="10085" max="10085" width="16" customWidth="1"/>
    <col min="10086" max="10086" width="12" customWidth="1"/>
    <col min="10087" max="10088" width="11.28515625" bestFit="1" customWidth="1"/>
    <col min="10089" max="10089" width="9.140625" bestFit="1" customWidth="1"/>
    <col min="10090" max="10090" width="10.28515625" bestFit="1" customWidth="1"/>
    <col min="10093" max="10093" width="11.28515625" bestFit="1" customWidth="1"/>
    <col min="10096" max="10096" width="10.7109375" bestFit="1" customWidth="1"/>
    <col min="10324" max="10324" width="17.28515625" customWidth="1"/>
    <col min="10325" max="10325" width="12.7109375" customWidth="1"/>
    <col min="10326" max="10326" width="14.7109375" customWidth="1"/>
    <col min="10327" max="10327" width="12.42578125" customWidth="1"/>
    <col min="10328" max="10328" width="12.28515625" customWidth="1"/>
    <col min="10329" max="10329" width="12.7109375" customWidth="1"/>
    <col min="10330" max="10330" width="12.42578125" customWidth="1"/>
    <col min="10331" max="10331" width="13.85546875" customWidth="1"/>
    <col min="10332" max="10332" width="20.28515625" customWidth="1"/>
    <col min="10333" max="10333" width="11.7109375" customWidth="1"/>
    <col min="10334" max="10334" width="17.42578125" customWidth="1"/>
    <col min="10340" max="10340" width="11.42578125" customWidth="1"/>
    <col min="10341" max="10341" width="16" customWidth="1"/>
    <col min="10342" max="10342" width="12" customWidth="1"/>
    <col min="10343" max="10344" width="11.28515625" bestFit="1" customWidth="1"/>
    <col min="10345" max="10345" width="9.140625" bestFit="1" customWidth="1"/>
    <col min="10346" max="10346" width="10.28515625" bestFit="1" customWidth="1"/>
    <col min="10349" max="10349" width="11.28515625" bestFit="1" customWidth="1"/>
    <col min="10352" max="10352" width="10.7109375" bestFit="1" customWidth="1"/>
    <col min="10580" max="10580" width="17.28515625" customWidth="1"/>
    <col min="10581" max="10581" width="12.7109375" customWidth="1"/>
    <col min="10582" max="10582" width="14.7109375" customWidth="1"/>
    <col min="10583" max="10583" width="12.42578125" customWidth="1"/>
    <col min="10584" max="10584" width="12.28515625" customWidth="1"/>
    <col min="10585" max="10585" width="12.7109375" customWidth="1"/>
    <col min="10586" max="10586" width="12.42578125" customWidth="1"/>
    <col min="10587" max="10587" width="13.85546875" customWidth="1"/>
    <col min="10588" max="10588" width="20.28515625" customWidth="1"/>
    <col min="10589" max="10589" width="11.7109375" customWidth="1"/>
    <col min="10590" max="10590" width="17.42578125" customWidth="1"/>
    <col min="10596" max="10596" width="11.42578125" customWidth="1"/>
    <col min="10597" max="10597" width="16" customWidth="1"/>
    <col min="10598" max="10598" width="12" customWidth="1"/>
    <col min="10599" max="10600" width="11.28515625" bestFit="1" customWidth="1"/>
    <col min="10601" max="10601" width="9.140625" bestFit="1" customWidth="1"/>
    <col min="10602" max="10602" width="10.28515625" bestFit="1" customWidth="1"/>
    <col min="10605" max="10605" width="11.28515625" bestFit="1" customWidth="1"/>
    <col min="10608" max="10608" width="10.7109375" bestFit="1" customWidth="1"/>
    <col min="10836" max="10836" width="17.28515625" customWidth="1"/>
    <col min="10837" max="10837" width="12.7109375" customWidth="1"/>
    <col min="10838" max="10838" width="14.7109375" customWidth="1"/>
    <col min="10839" max="10839" width="12.42578125" customWidth="1"/>
    <col min="10840" max="10840" width="12.28515625" customWidth="1"/>
    <col min="10841" max="10841" width="12.7109375" customWidth="1"/>
    <col min="10842" max="10842" width="12.42578125" customWidth="1"/>
    <col min="10843" max="10843" width="13.85546875" customWidth="1"/>
    <col min="10844" max="10844" width="20.28515625" customWidth="1"/>
    <col min="10845" max="10845" width="11.7109375" customWidth="1"/>
    <col min="10846" max="10846" width="17.42578125" customWidth="1"/>
    <col min="10852" max="10852" width="11.42578125" customWidth="1"/>
    <col min="10853" max="10853" width="16" customWidth="1"/>
    <col min="10854" max="10854" width="12" customWidth="1"/>
    <col min="10855" max="10856" width="11.28515625" bestFit="1" customWidth="1"/>
    <col min="10857" max="10857" width="9.140625" bestFit="1" customWidth="1"/>
    <col min="10858" max="10858" width="10.28515625" bestFit="1" customWidth="1"/>
    <col min="10861" max="10861" width="11.28515625" bestFit="1" customWidth="1"/>
    <col min="10864" max="10864" width="10.7109375" bestFit="1" customWidth="1"/>
    <col min="11092" max="11092" width="17.28515625" customWidth="1"/>
    <col min="11093" max="11093" width="12.7109375" customWidth="1"/>
    <col min="11094" max="11094" width="14.7109375" customWidth="1"/>
    <col min="11095" max="11095" width="12.42578125" customWidth="1"/>
    <col min="11096" max="11096" width="12.28515625" customWidth="1"/>
    <col min="11097" max="11097" width="12.7109375" customWidth="1"/>
    <col min="11098" max="11098" width="12.42578125" customWidth="1"/>
    <col min="11099" max="11099" width="13.85546875" customWidth="1"/>
    <col min="11100" max="11100" width="20.28515625" customWidth="1"/>
    <col min="11101" max="11101" width="11.7109375" customWidth="1"/>
    <col min="11102" max="11102" width="17.42578125" customWidth="1"/>
    <col min="11108" max="11108" width="11.42578125" customWidth="1"/>
    <col min="11109" max="11109" width="16" customWidth="1"/>
    <col min="11110" max="11110" width="12" customWidth="1"/>
    <col min="11111" max="11112" width="11.28515625" bestFit="1" customWidth="1"/>
    <col min="11113" max="11113" width="9.140625" bestFit="1" customWidth="1"/>
    <col min="11114" max="11114" width="10.28515625" bestFit="1" customWidth="1"/>
    <col min="11117" max="11117" width="11.28515625" bestFit="1" customWidth="1"/>
    <col min="11120" max="11120" width="10.7109375" bestFit="1" customWidth="1"/>
    <col min="11348" max="11348" width="17.28515625" customWidth="1"/>
    <col min="11349" max="11349" width="12.7109375" customWidth="1"/>
    <col min="11350" max="11350" width="14.7109375" customWidth="1"/>
    <col min="11351" max="11351" width="12.42578125" customWidth="1"/>
    <col min="11352" max="11352" width="12.28515625" customWidth="1"/>
    <col min="11353" max="11353" width="12.7109375" customWidth="1"/>
    <col min="11354" max="11354" width="12.42578125" customWidth="1"/>
    <col min="11355" max="11355" width="13.85546875" customWidth="1"/>
    <col min="11356" max="11356" width="20.28515625" customWidth="1"/>
    <col min="11357" max="11357" width="11.7109375" customWidth="1"/>
    <col min="11358" max="11358" width="17.42578125" customWidth="1"/>
    <col min="11364" max="11364" width="11.42578125" customWidth="1"/>
    <col min="11365" max="11365" width="16" customWidth="1"/>
    <col min="11366" max="11366" width="12" customWidth="1"/>
    <col min="11367" max="11368" width="11.28515625" bestFit="1" customWidth="1"/>
    <col min="11369" max="11369" width="9.140625" bestFit="1" customWidth="1"/>
    <col min="11370" max="11370" width="10.28515625" bestFit="1" customWidth="1"/>
    <col min="11373" max="11373" width="11.28515625" bestFit="1" customWidth="1"/>
    <col min="11376" max="11376" width="10.7109375" bestFit="1" customWidth="1"/>
    <col min="11604" max="11604" width="17.28515625" customWidth="1"/>
    <col min="11605" max="11605" width="12.7109375" customWidth="1"/>
    <col min="11606" max="11606" width="14.7109375" customWidth="1"/>
    <col min="11607" max="11607" width="12.42578125" customWidth="1"/>
    <col min="11608" max="11608" width="12.28515625" customWidth="1"/>
    <col min="11609" max="11609" width="12.7109375" customWidth="1"/>
    <col min="11610" max="11610" width="12.42578125" customWidth="1"/>
    <col min="11611" max="11611" width="13.85546875" customWidth="1"/>
    <col min="11612" max="11612" width="20.28515625" customWidth="1"/>
    <col min="11613" max="11613" width="11.7109375" customWidth="1"/>
    <col min="11614" max="11614" width="17.42578125" customWidth="1"/>
    <col min="11620" max="11620" width="11.42578125" customWidth="1"/>
    <col min="11621" max="11621" width="16" customWidth="1"/>
    <col min="11622" max="11622" width="12" customWidth="1"/>
    <col min="11623" max="11624" width="11.28515625" bestFit="1" customWidth="1"/>
    <col min="11625" max="11625" width="9.140625" bestFit="1" customWidth="1"/>
    <col min="11626" max="11626" width="10.28515625" bestFit="1" customWidth="1"/>
    <col min="11629" max="11629" width="11.28515625" bestFit="1" customWidth="1"/>
    <col min="11632" max="11632" width="10.7109375" bestFit="1" customWidth="1"/>
    <col min="11860" max="11860" width="17.28515625" customWidth="1"/>
    <col min="11861" max="11861" width="12.7109375" customWidth="1"/>
    <col min="11862" max="11862" width="14.7109375" customWidth="1"/>
    <col min="11863" max="11863" width="12.42578125" customWidth="1"/>
    <col min="11864" max="11864" width="12.28515625" customWidth="1"/>
    <col min="11865" max="11865" width="12.7109375" customWidth="1"/>
    <col min="11866" max="11866" width="12.42578125" customWidth="1"/>
    <col min="11867" max="11867" width="13.85546875" customWidth="1"/>
    <col min="11868" max="11868" width="20.28515625" customWidth="1"/>
    <col min="11869" max="11869" width="11.7109375" customWidth="1"/>
    <col min="11870" max="11870" width="17.42578125" customWidth="1"/>
    <col min="11876" max="11876" width="11.42578125" customWidth="1"/>
    <col min="11877" max="11877" width="16" customWidth="1"/>
    <col min="11878" max="11878" width="12" customWidth="1"/>
    <col min="11879" max="11880" width="11.28515625" bestFit="1" customWidth="1"/>
    <col min="11881" max="11881" width="9.140625" bestFit="1" customWidth="1"/>
    <col min="11882" max="11882" width="10.28515625" bestFit="1" customWidth="1"/>
    <col min="11885" max="11885" width="11.28515625" bestFit="1" customWidth="1"/>
    <col min="11888" max="11888" width="10.7109375" bestFit="1" customWidth="1"/>
    <col min="12116" max="12116" width="17.28515625" customWidth="1"/>
    <col min="12117" max="12117" width="12.7109375" customWidth="1"/>
    <col min="12118" max="12118" width="14.7109375" customWidth="1"/>
    <col min="12119" max="12119" width="12.42578125" customWidth="1"/>
    <col min="12120" max="12120" width="12.28515625" customWidth="1"/>
    <col min="12121" max="12121" width="12.7109375" customWidth="1"/>
    <col min="12122" max="12122" width="12.42578125" customWidth="1"/>
    <col min="12123" max="12123" width="13.85546875" customWidth="1"/>
    <col min="12124" max="12124" width="20.28515625" customWidth="1"/>
    <col min="12125" max="12125" width="11.7109375" customWidth="1"/>
    <col min="12126" max="12126" width="17.42578125" customWidth="1"/>
    <col min="12132" max="12132" width="11.42578125" customWidth="1"/>
    <col min="12133" max="12133" width="16" customWidth="1"/>
    <col min="12134" max="12134" width="12" customWidth="1"/>
    <col min="12135" max="12136" width="11.28515625" bestFit="1" customWidth="1"/>
    <col min="12137" max="12137" width="9.140625" bestFit="1" customWidth="1"/>
    <col min="12138" max="12138" width="10.28515625" bestFit="1" customWidth="1"/>
    <col min="12141" max="12141" width="11.28515625" bestFit="1" customWidth="1"/>
    <col min="12144" max="12144" width="10.7109375" bestFit="1" customWidth="1"/>
    <col min="12372" max="12372" width="17.28515625" customWidth="1"/>
    <col min="12373" max="12373" width="12.7109375" customWidth="1"/>
    <col min="12374" max="12374" width="14.7109375" customWidth="1"/>
    <col min="12375" max="12375" width="12.42578125" customWidth="1"/>
    <col min="12376" max="12376" width="12.28515625" customWidth="1"/>
    <col min="12377" max="12377" width="12.7109375" customWidth="1"/>
    <col min="12378" max="12378" width="12.42578125" customWidth="1"/>
    <col min="12379" max="12379" width="13.85546875" customWidth="1"/>
    <col min="12380" max="12380" width="20.28515625" customWidth="1"/>
    <col min="12381" max="12381" width="11.7109375" customWidth="1"/>
    <col min="12382" max="12382" width="17.42578125" customWidth="1"/>
    <col min="12388" max="12388" width="11.42578125" customWidth="1"/>
    <col min="12389" max="12389" width="16" customWidth="1"/>
    <col min="12390" max="12390" width="12" customWidth="1"/>
    <col min="12391" max="12392" width="11.28515625" bestFit="1" customWidth="1"/>
    <col min="12393" max="12393" width="9.140625" bestFit="1" customWidth="1"/>
    <col min="12394" max="12394" width="10.28515625" bestFit="1" customWidth="1"/>
    <col min="12397" max="12397" width="11.28515625" bestFit="1" customWidth="1"/>
    <col min="12400" max="12400" width="10.7109375" bestFit="1" customWidth="1"/>
    <col min="12628" max="12628" width="17.28515625" customWidth="1"/>
    <col min="12629" max="12629" width="12.7109375" customWidth="1"/>
    <col min="12630" max="12630" width="14.7109375" customWidth="1"/>
    <col min="12631" max="12631" width="12.42578125" customWidth="1"/>
    <col min="12632" max="12632" width="12.28515625" customWidth="1"/>
    <col min="12633" max="12633" width="12.7109375" customWidth="1"/>
    <col min="12634" max="12634" width="12.42578125" customWidth="1"/>
    <col min="12635" max="12635" width="13.85546875" customWidth="1"/>
    <col min="12636" max="12636" width="20.28515625" customWidth="1"/>
    <col min="12637" max="12637" width="11.7109375" customWidth="1"/>
    <col min="12638" max="12638" width="17.42578125" customWidth="1"/>
    <col min="12644" max="12644" width="11.42578125" customWidth="1"/>
    <col min="12645" max="12645" width="16" customWidth="1"/>
    <col min="12646" max="12646" width="12" customWidth="1"/>
    <col min="12647" max="12648" width="11.28515625" bestFit="1" customWidth="1"/>
    <col min="12649" max="12649" width="9.140625" bestFit="1" customWidth="1"/>
    <col min="12650" max="12650" width="10.28515625" bestFit="1" customWidth="1"/>
    <col min="12653" max="12653" width="11.28515625" bestFit="1" customWidth="1"/>
    <col min="12656" max="12656" width="10.7109375" bestFit="1" customWidth="1"/>
    <col min="12884" max="12884" width="17.28515625" customWidth="1"/>
    <col min="12885" max="12885" width="12.7109375" customWidth="1"/>
    <col min="12886" max="12886" width="14.7109375" customWidth="1"/>
    <col min="12887" max="12887" width="12.42578125" customWidth="1"/>
    <col min="12888" max="12888" width="12.28515625" customWidth="1"/>
    <col min="12889" max="12889" width="12.7109375" customWidth="1"/>
    <col min="12890" max="12890" width="12.42578125" customWidth="1"/>
    <col min="12891" max="12891" width="13.85546875" customWidth="1"/>
    <col min="12892" max="12892" width="20.28515625" customWidth="1"/>
    <col min="12893" max="12893" width="11.7109375" customWidth="1"/>
    <col min="12894" max="12894" width="17.42578125" customWidth="1"/>
    <col min="12900" max="12900" width="11.42578125" customWidth="1"/>
    <col min="12901" max="12901" width="16" customWidth="1"/>
    <col min="12902" max="12902" width="12" customWidth="1"/>
    <col min="12903" max="12904" width="11.28515625" bestFit="1" customWidth="1"/>
    <col min="12905" max="12905" width="9.140625" bestFit="1" customWidth="1"/>
    <col min="12906" max="12906" width="10.28515625" bestFit="1" customWidth="1"/>
    <col min="12909" max="12909" width="11.28515625" bestFit="1" customWidth="1"/>
    <col min="12912" max="12912" width="10.7109375" bestFit="1" customWidth="1"/>
    <col min="13140" max="13140" width="17.28515625" customWidth="1"/>
    <col min="13141" max="13141" width="12.7109375" customWidth="1"/>
    <col min="13142" max="13142" width="14.7109375" customWidth="1"/>
    <col min="13143" max="13143" width="12.42578125" customWidth="1"/>
    <col min="13144" max="13144" width="12.28515625" customWidth="1"/>
    <col min="13145" max="13145" width="12.7109375" customWidth="1"/>
    <col min="13146" max="13146" width="12.42578125" customWidth="1"/>
    <col min="13147" max="13147" width="13.85546875" customWidth="1"/>
    <col min="13148" max="13148" width="20.28515625" customWidth="1"/>
    <col min="13149" max="13149" width="11.7109375" customWidth="1"/>
    <col min="13150" max="13150" width="17.42578125" customWidth="1"/>
    <col min="13156" max="13156" width="11.42578125" customWidth="1"/>
    <col min="13157" max="13157" width="16" customWidth="1"/>
    <col min="13158" max="13158" width="12" customWidth="1"/>
    <col min="13159" max="13160" width="11.28515625" bestFit="1" customWidth="1"/>
    <col min="13161" max="13161" width="9.140625" bestFit="1" customWidth="1"/>
    <col min="13162" max="13162" width="10.28515625" bestFit="1" customWidth="1"/>
    <col min="13165" max="13165" width="11.28515625" bestFit="1" customWidth="1"/>
    <col min="13168" max="13168" width="10.7109375" bestFit="1" customWidth="1"/>
    <col min="13396" max="13396" width="17.28515625" customWidth="1"/>
    <col min="13397" max="13397" width="12.7109375" customWidth="1"/>
    <col min="13398" max="13398" width="14.7109375" customWidth="1"/>
    <col min="13399" max="13399" width="12.42578125" customWidth="1"/>
    <col min="13400" max="13400" width="12.28515625" customWidth="1"/>
    <col min="13401" max="13401" width="12.7109375" customWidth="1"/>
    <col min="13402" max="13402" width="12.42578125" customWidth="1"/>
    <col min="13403" max="13403" width="13.85546875" customWidth="1"/>
    <col min="13404" max="13404" width="20.28515625" customWidth="1"/>
    <col min="13405" max="13405" width="11.7109375" customWidth="1"/>
    <col min="13406" max="13406" width="17.42578125" customWidth="1"/>
    <col min="13412" max="13412" width="11.42578125" customWidth="1"/>
    <col min="13413" max="13413" width="16" customWidth="1"/>
    <col min="13414" max="13414" width="12" customWidth="1"/>
    <col min="13415" max="13416" width="11.28515625" bestFit="1" customWidth="1"/>
    <col min="13417" max="13417" width="9.140625" bestFit="1" customWidth="1"/>
    <col min="13418" max="13418" width="10.28515625" bestFit="1" customWidth="1"/>
    <col min="13421" max="13421" width="11.28515625" bestFit="1" customWidth="1"/>
    <col min="13424" max="13424" width="10.7109375" bestFit="1" customWidth="1"/>
    <col min="13652" max="13652" width="17.28515625" customWidth="1"/>
    <col min="13653" max="13653" width="12.7109375" customWidth="1"/>
    <col min="13654" max="13654" width="14.7109375" customWidth="1"/>
    <col min="13655" max="13655" width="12.42578125" customWidth="1"/>
    <col min="13656" max="13656" width="12.28515625" customWidth="1"/>
    <col min="13657" max="13657" width="12.7109375" customWidth="1"/>
    <col min="13658" max="13658" width="12.42578125" customWidth="1"/>
    <col min="13659" max="13659" width="13.85546875" customWidth="1"/>
    <col min="13660" max="13660" width="20.28515625" customWidth="1"/>
    <col min="13661" max="13661" width="11.7109375" customWidth="1"/>
    <col min="13662" max="13662" width="17.42578125" customWidth="1"/>
    <col min="13668" max="13668" width="11.42578125" customWidth="1"/>
    <col min="13669" max="13669" width="16" customWidth="1"/>
    <col min="13670" max="13670" width="12" customWidth="1"/>
    <col min="13671" max="13672" width="11.28515625" bestFit="1" customWidth="1"/>
    <col min="13673" max="13673" width="9.140625" bestFit="1" customWidth="1"/>
    <col min="13674" max="13674" width="10.28515625" bestFit="1" customWidth="1"/>
    <col min="13677" max="13677" width="11.28515625" bestFit="1" customWidth="1"/>
    <col min="13680" max="13680" width="10.7109375" bestFit="1" customWidth="1"/>
    <col min="13908" max="13908" width="17.28515625" customWidth="1"/>
    <col min="13909" max="13909" width="12.7109375" customWidth="1"/>
    <col min="13910" max="13910" width="14.7109375" customWidth="1"/>
    <col min="13911" max="13911" width="12.42578125" customWidth="1"/>
    <col min="13912" max="13912" width="12.28515625" customWidth="1"/>
    <col min="13913" max="13913" width="12.7109375" customWidth="1"/>
    <col min="13914" max="13914" width="12.42578125" customWidth="1"/>
    <col min="13915" max="13915" width="13.85546875" customWidth="1"/>
    <col min="13916" max="13916" width="20.28515625" customWidth="1"/>
    <col min="13917" max="13917" width="11.7109375" customWidth="1"/>
    <col min="13918" max="13918" width="17.42578125" customWidth="1"/>
    <col min="13924" max="13924" width="11.42578125" customWidth="1"/>
    <col min="13925" max="13925" width="16" customWidth="1"/>
    <col min="13926" max="13926" width="12" customWidth="1"/>
    <col min="13927" max="13928" width="11.28515625" bestFit="1" customWidth="1"/>
    <col min="13929" max="13929" width="9.140625" bestFit="1" customWidth="1"/>
    <col min="13930" max="13930" width="10.28515625" bestFit="1" customWidth="1"/>
    <col min="13933" max="13933" width="11.28515625" bestFit="1" customWidth="1"/>
    <col min="13936" max="13936" width="10.7109375" bestFit="1" customWidth="1"/>
    <col min="14164" max="14164" width="17.28515625" customWidth="1"/>
    <col min="14165" max="14165" width="12.7109375" customWidth="1"/>
    <col min="14166" max="14166" width="14.7109375" customWidth="1"/>
    <col min="14167" max="14167" width="12.42578125" customWidth="1"/>
    <col min="14168" max="14168" width="12.28515625" customWidth="1"/>
    <col min="14169" max="14169" width="12.7109375" customWidth="1"/>
    <col min="14170" max="14170" width="12.42578125" customWidth="1"/>
    <col min="14171" max="14171" width="13.85546875" customWidth="1"/>
    <col min="14172" max="14172" width="20.28515625" customWidth="1"/>
    <col min="14173" max="14173" width="11.7109375" customWidth="1"/>
    <col min="14174" max="14174" width="17.42578125" customWidth="1"/>
    <col min="14180" max="14180" width="11.42578125" customWidth="1"/>
    <col min="14181" max="14181" width="16" customWidth="1"/>
    <col min="14182" max="14182" width="12" customWidth="1"/>
    <col min="14183" max="14184" width="11.28515625" bestFit="1" customWidth="1"/>
    <col min="14185" max="14185" width="9.140625" bestFit="1" customWidth="1"/>
    <col min="14186" max="14186" width="10.28515625" bestFit="1" customWidth="1"/>
    <col min="14189" max="14189" width="11.28515625" bestFit="1" customWidth="1"/>
    <col min="14192" max="14192" width="10.7109375" bestFit="1" customWidth="1"/>
    <col min="14420" max="14420" width="17.28515625" customWidth="1"/>
    <col min="14421" max="14421" width="12.7109375" customWidth="1"/>
    <col min="14422" max="14422" width="14.7109375" customWidth="1"/>
    <col min="14423" max="14423" width="12.42578125" customWidth="1"/>
    <col min="14424" max="14424" width="12.28515625" customWidth="1"/>
    <col min="14425" max="14425" width="12.7109375" customWidth="1"/>
    <col min="14426" max="14426" width="12.42578125" customWidth="1"/>
    <col min="14427" max="14427" width="13.85546875" customWidth="1"/>
    <col min="14428" max="14428" width="20.28515625" customWidth="1"/>
    <col min="14429" max="14429" width="11.7109375" customWidth="1"/>
    <col min="14430" max="14430" width="17.42578125" customWidth="1"/>
    <col min="14436" max="14436" width="11.42578125" customWidth="1"/>
    <col min="14437" max="14437" width="16" customWidth="1"/>
    <col min="14438" max="14438" width="12" customWidth="1"/>
    <col min="14439" max="14440" width="11.28515625" bestFit="1" customWidth="1"/>
    <col min="14441" max="14441" width="9.140625" bestFit="1" customWidth="1"/>
    <col min="14442" max="14442" width="10.28515625" bestFit="1" customWidth="1"/>
    <col min="14445" max="14445" width="11.28515625" bestFit="1" customWidth="1"/>
    <col min="14448" max="14448" width="10.7109375" bestFit="1" customWidth="1"/>
    <col min="14676" max="14676" width="17.28515625" customWidth="1"/>
    <col min="14677" max="14677" width="12.7109375" customWidth="1"/>
    <col min="14678" max="14678" width="14.7109375" customWidth="1"/>
    <col min="14679" max="14679" width="12.42578125" customWidth="1"/>
    <col min="14680" max="14680" width="12.28515625" customWidth="1"/>
    <col min="14681" max="14681" width="12.7109375" customWidth="1"/>
    <col min="14682" max="14682" width="12.42578125" customWidth="1"/>
    <col min="14683" max="14683" width="13.85546875" customWidth="1"/>
    <col min="14684" max="14684" width="20.28515625" customWidth="1"/>
    <col min="14685" max="14685" width="11.7109375" customWidth="1"/>
    <col min="14686" max="14686" width="17.42578125" customWidth="1"/>
    <col min="14692" max="14692" width="11.42578125" customWidth="1"/>
    <col min="14693" max="14693" width="16" customWidth="1"/>
    <col min="14694" max="14694" width="12" customWidth="1"/>
    <col min="14695" max="14696" width="11.28515625" bestFit="1" customWidth="1"/>
    <col min="14697" max="14697" width="9.140625" bestFit="1" customWidth="1"/>
    <col min="14698" max="14698" width="10.28515625" bestFit="1" customWidth="1"/>
    <col min="14701" max="14701" width="11.28515625" bestFit="1" customWidth="1"/>
    <col min="14704" max="14704" width="10.7109375" bestFit="1" customWidth="1"/>
    <col min="14932" max="14932" width="17.28515625" customWidth="1"/>
    <col min="14933" max="14933" width="12.7109375" customWidth="1"/>
    <col min="14934" max="14934" width="14.7109375" customWidth="1"/>
    <col min="14935" max="14935" width="12.42578125" customWidth="1"/>
    <col min="14936" max="14936" width="12.28515625" customWidth="1"/>
    <col min="14937" max="14937" width="12.7109375" customWidth="1"/>
    <col min="14938" max="14938" width="12.42578125" customWidth="1"/>
    <col min="14939" max="14939" width="13.85546875" customWidth="1"/>
    <col min="14940" max="14940" width="20.28515625" customWidth="1"/>
    <col min="14941" max="14941" width="11.7109375" customWidth="1"/>
    <col min="14942" max="14942" width="17.42578125" customWidth="1"/>
    <col min="14948" max="14948" width="11.42578125" customWidth="1"/>
    <col min="14949" max="14949" width="16" customWidth="1"/>
    <col min="14950" max="14950" width="12" customWidth="1"/>
    <col min="14951" max="14952" width="11.28515625" bestFit="1" customWidth="1"/>
    <col min="14953" max="14953" width="9.140625" bestFit="1" customWidth="1"/>
    <col min="14954" max="14954" width="10.28515625" bestFit="1" customWidth="1"/>
    <col min="14957" max="14957" width="11.28515625" bestFit="1" customWidth="1"/>
    <col min="14960" max="14960" width="10.7109375" bestFit="1" customWidth="1"/>
    <col min="15188" max="15188" width="17.28515625" customWidth="1"/>
    <col min="15189" max="15189" width="12.7109375" customWidth="1"/>
    <col min="15190" max="15190" width="14.7109375" customWidth="1"/>
    <col min="15191" max="15191" width="12.42578125" customWidth="1"/>
    <col min="15192" max="15192" width="12.28515625" customWidth="1"/>
    <col min="15193" max="15193" width="12.7109375" customWidth="1"/>
    <col min="15194" max="15194" width="12.42578125" customWidth="1"/>
    <col min="15195" max="15195" width="13.85546875" customWidth="1"/>
    <col min="15196" max="15196" width="20.28515625" customWidth="1"/>
    <col min="15197" max="15197" width="11.7109375" customWidth="1"/>
    <col min="15198" max="15198" width="17.42578125" customWidth="1"/>
    <col min="15204" max="15204" width="11.42578125" customWidth="1"/>
    <col min="15205" max="15205" width="16" customWidth="1"/>
    <col min="15206" max="15206" width="12" customWidth="1"/>
    <col min="15207" max="15208" width="11.28515625" bestFit="1" customWidth="1"/>
    <col min="15209" max="15209" width="9.140625" bestFit="1" customWidth="1"/>
    <col min="15210" max="15210" width="10.28515625" bestFit="1" customWidth="1"/>
    <col min="15213" max="15213" width="11.28515625" bestFit="1" customWidth="1"/>
    <col min="15216" max="15216" width="10.7109375" bestFit="1" customWidth="1"/>
    <col min="15444" max="15444" width="17.28515625" customWidth="1"/>
    <col min="15445" max="15445" width="12.7109375" customWidth="1"/>
    <col min="15446" max="15446" width="14.7109375" customWidth="1"/>
    <col min="15447" max="15447" width="12.42578125" customWidth="1"/>
    <col min="15448" max="15448" width="12.28515625" customWidth="1"/>
    <col min="15449" max="15449" width="12.7109375" customWidth="1"/>
    <col min="15450" max="15450" width="12.42578125" customWidth="1"/>
    <col min="15451" max="15451" width="13.85546875" customWidth="1"/>
    <col min="15452" max="15452" width="20.28515625" customWidth="1"/>
    <col min="15453" max="15453" width="11.7109375" customWidth="1"/>
    <col min="15454" max="15454" width="17.42578125" customWidth="1"/>
    <col min="15460" max="15460" width="11.42578125" customWidth="1"/>
    <col min="15461" max="15461" width="16" customWidth="1"/>
    <col min="15462" max="15462" width="12" customWidth="1"/>
    <col min="15463" max="15464" width="11.28515625" bestFit="1" customWidth="1"/>
    <col min="15465" max="15465" width="9.140625" bestFit="1" customWidth="1"/>
    <col min="15466" max="15466" width="10.28515625" bestFit="1" customWidth="1"/>
    <col min="15469" max="15469" width="11.28515625" bestFit="1" customWidth="1"/>
    <col min="15472" max="15472" width="10.7109375" bestFit="1" customWidth="1"/>
    <col min="15700" max="15700" width="17.28515625" customWidth="1"/>
    <col min="15701" max="15701" width="12.7109375" customWidth="1"/>
    <col min="15702" max="15702" width="14.7109375" customWidth="1"/>
    <col min="15703" max="15703" width="12.42578125" customWidth="1"/>
    <col min="15704" max="15704" width="12.28515625" customWidth="1"/>
    <col min="15705" max="15705" width="12.7109375" customWidth="1"/>
    <col min="15706" max="15706" width="12.42578125" customWidth="1"/>
    <col min="15707" max="15707" width="13.85546875" customWidth="1"/>
    <col min="15708" max="15708" width="20.28515625" customWidth="1"/>
    <col min="15709" max="15709" width="11.7109375" customWidth="1"/>
    <col min="15710" max="15710" width="17.42578125" customWidth="1"/>
    <col min="15716" max="15716" width="11.42578125" customWidth="1"/>
    <col min="15717" max="15717" width="16" customWidth="1"/>
    <col min="15718" max="15718" width="12" customWidth="1"/>
    <col min="15719" max="15720" width="11.28515625" bestFit="1" customWidth="1"/>
    <col min="15721" max="15721" width="9.140625" bestFit="1" customWidth="1"/>
    <col min="15722" max="15722" width="10.28515625" bestFit="1" customWidth="1"/>
    <col min="15725" max="15725" width="11.28515625" bestFit="1" customWidth="1"/>
    <col min="15728" max="15728" width="10.7109375" bestFit="1" customWidth="1"/>
    <col min="15956" max="15956" width="17.28515625" customWidth="1"/>
    <col min="15957" max="15957" width="12.7109375" customWidth="1"/>
    <col min="15958" max="15958" width="14.7109375" customWidth="1"/>
    <col min="15959" max="15959" width="12.42578125" customWidth="1"/>
    <col min="15960" max="15960" width="12.28515625" customWidth="1"/>
    <col min="15961" max="15961" width="12.7109375" customWidth="1"/>
    <col min="15962" max="15962" width="12.42578125" customWidth="1"/>
    <col min="15963" max="15963" width="13.85546875" customWidth="1"/>
    <col min="15964" max="15964" width="20.28515625" customWidth="1"/>
    <col min="15965" max="15965" width="11.7109375" customWidth="1"/>
    <col min="15966" max="15966" width="17.42578125" customWidth="1"/>
    <col min="15972" max="15972" width="11.42578125" customWidth="1"/>
    <col min="15973" max="15973" width="16" customWidth="1"/>
    <col min="15974" max="15974" width="12" customWidth="1"/>
    <col min="15975" max="15976" width="11.28515625" bestFit="1" customWidth="1"/>
    <col min="15977" max="15977" width="9.140625" bestFit="1" customWidth="1"/>
    <col min="15978" max="15978" width="10.28515625" bestFit="1" customWidth="1"/>
    <col min="15981" max="15981" width="11.28515625" bestFit="1" customWidth="1"/>
    <col min="15984" max="15984" width="10.7109375" bestFit="1" customWidth="1"/>
    <col min="16212" max="16212" width="17.28515625" customWidth="1"/>
    <col min="16213" max="16213" width="12.7109375" customWidth="1"/>
    <col min="16214" max="16214" width="14.7109375" customWidth="1"/>
    <col min="16215" max="16215" width="12.42578125" customWidth="1"/>
    <col min="16216" max="16216" width="12.28515625" customWidth="1"/>
    <col min="16217" max="16217" width="12.7109375" customWidth="1"/>
    <col min="16218" max="16218" width="12.42578125" customWidth="1"/>
    <col min="16219" max="16219" width="13.85546875" customWidth="1"/>
    <col min="16220" max="16220" width="20.28515625" customWidth="1"/>
    <col min="16221" max="16221" width="11.7109375" customWidth="1"/>
    <col min="16222" max="16222" width="17.42578125" customWidth="1"/>
    <col min="16228" max="16228" width="11.42578125" customWidth="1"/>
    <col min="16229" max="16229" width="16" customWidth="1"/>
    <col min="16230" max="16230" width="12" customWidth="1"/>
    <col min="16231" max="16232" width="11.28515625" bestFit="1" customWidth="1"/>
    <col min="16233" max="16233" width="9.140625" bestFit="1" customWidth="1"/>
    <col min="16234" max="16234" width="10.28515625" bestFit="1" customWidth="1"/>
    <col min="16237" max="16237" width="11.28515625" bestFit="1" customWidth="1"/>
    <col min="16240" max="16240" width="10.7109375" bestFit="1" customWidth="1"/>
  </cols>
  <sheetData>
    <row r="1" spans="1:113" ht="15.75" hidden="1" thickBot="1">
      <c r="A1" s="27" t="s">
        <v>151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9"/>
      <c r="AM1" s="30"/>
      <c r="AN1" s="30"/>
      <c r="AO1" s="30"/>
      <c r="AP1" s="66" t="s">
        <v>0</v>
      </c>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row>
    <row r="2" spans="1:113" ht="15.75" thickBot="1">
      <c r="A2" s="44"/>
      <c r="B2" s="343" t="s">
        <v>1</v>
      </c>
      <c r="C2" s="356"/>
      <c r="D2" s="356"/>
      <c r="E2" s="357"/>
      <c r="F2" s="340" t="s">
        <v>2</v>
      </c>
      <c r="G2" s="340"/>
      <c r="H2" s="340"/>
      <c r="I2" s="340"/>
      <c r="J2" s="341" t="s">
        <v>3</v>
      </c>
      <c r="K2" s="340"/>
      <c r="L2" s="340"/>
      <c r="M2" s="342"/>
      <c r="N2" s="340" t="s">
        <v>4</v>
      </c>
      <c r="O2" s="340"/>
      <c r="P2" s="340"/>
      <c r="Q2" s="340"/>
      <c r="R2" s="341" t="s">
        <v>5</v>
      </c>
      <c r="S2" s="340"/>
      <c r="T2" s="340"/>
      <c r="U2" s="342"/>
      <c r="V2" s="335" t="s">
        <v>6</v>
      </c>
      <c r="W2" s="335"/>
      <c r="X2" s="335"/>
      <c r="Y2" s="335"/>
      <c r="Z2" s="341" t="s">
        <v>7</v>
      </c>
      <c r="AA2" s="340"/>
      <c r="AB2" s="340"/>
      <c r="AC2" s="342"/>
      <c r="AD2" s="334" t="s">
        <v>8</v>
      </c>
      <c r="AE2" s="335"/>
      <c r="AF2" s="335"/>
      <c r="AG2" s="336"/>
      <c r="AH2" s="335" t="s">
        <v>9</v>
      </c>
      <c r="AI2" s="335"/>
      <c r="AJ2" s="335"/>
      <c r="AK2" s="335"/>
      <c r="AL2" s="341" t="s">
        <v>10</v>
      </c>
      <c r="AM2" s="340"/>
      <c r="AN2" s="340"/>
      <c r="AO2" s="342"/>
      <c r="AP2" s="335" t="s">
        <v>11</v>
      </c>
      <c r="AQ2" s="335"/>
      <c r="AR2" s="335"/>
      <c r="AS2" s="335"/>
      <c r="AT2" s="334" t="s">
        <v>12</v>
      </c>
      <c r="AU2" s="335"/>
      <c r="AV2" s="335"/>
      <c r="AW2" s="336"/>
      <c r="AX2" s="340" t="s">
        <v>13</v>
      </c>
      <c r="AY2" s="340"/>
      <c r="AZ2" s="340"/>
      <c r="BA2" s="340"/>
      <c r="BB2" s="334" t="s">
        <v>14</v>
      </c>
      <c r="BC2" s="335"/>
      <c r="BD2" s="335"/>
      <c r="BE2" s="336"/>
      <c r="BF2" s="340" t="s">
        <v>15</v>
      </c>
      <c r="BG2" s="340"/>
      <c r="BH2" s="340"/>
      <c r="BI2" s="340"/>
      <c r="BJ2" s="334" t="s">
        <v>16</v>
      </c>
      <c r="BK2" s="335"/>
      <c r="BL2" s="335"/>
      <c r="BM2" s="336"/>
      <c r="BN2" s="335" t="s">
        <v>17</v>
      </c>
      <c r="BO2" s="335"/>
      <c r="BP2" s="335"/>
      <c r="BQ2" s="335"/>
      <c r="BR2" s="341" t="s">
        <v>18</v>
      </c>
      <c r="BS2" s="340"/>
      <c r="BT2" s="340"/>
      <c r="BU2" s="342"/>
      <c r="BV2" s="335" t="s">
        <v>19</v>
      </c>
      <c r="BW2" s="335"/>
      <c r="BX2" s="335"/>
      <c r="BY2" s="335"/>
      <c r="BZ2" s="341" t="s">
        <v>20</v>
      </c>
      <c r="CA2" s="340"/>
      <c r="CB2" s="340"/>
      <c r="CC2" s="342"/>
      <c r="CD2" s="340" t="s">
        <v>21</v>
      </c>
      <c r="CE2" s="340"/>
      <c r="CF2" s="340"/>
      <c r="CG2" s="340"/>
      <c r="CH2" s="334" t="s">
        <v>22</v>
      </c>
      <c r="CI2" s="335"/>
      <c r="CJ2" s="335"/>
      <c r="CK2" s="336"/>
      <c r="CL2" s="340" t="s">
        <v>23</v>
      </c>
      <c r="CM2" s="340"/>
      <c r="CN2" s="340"/>
      <c r="CO2" s="340"/>
      <c r="CP2" s="341" t="s">
        <v>24</v>
      </c>
      <c r="CQ2" s="340"/>
      <c r="CR2" s="340"/>
      <c r="CS2" s="342"/>
      <c r="CT2" s="335" t="s">
        <v>152</v>
      </c>
      <c r="CU2" s="335"/>
      <c r="CV2" s="335"/>
      <c r="CW2" s="335"/>
      <c r="CX2" s="343" t="s">
        <v>25</v>
      </c>
      <c r="CY2" s="340"/>
      <c r="CZ2" s="340"/>
      <c r="DA2" s="342"/>
      <c r="DB2" s="340" t="s">
        <v>26</v>
      </c>
      <c r="DC2" s="340"/>
      <c r="DD2" s="340"/>
      <c r="DE2" s="340"/>
      <c r="DF2" s="334" t="s">
        <v>27</v>
      </c>
      <c r="DG2" s="335"/>
      <c r="DH2" s="335"/>
      <c r="DI2" s="336"/>
    </row>
    <row r="3" spans="1:113">
      <c r="A3" s="45"/>
      <c r="B3" s="189" t="s">
        <v>73</v>
      </c>
      <c r="C3" s="235" t="s">
        <v>123</v>
      </c>
      <c r="D3" s="191" t="s">
        <v>126</v>
      </c>
      <c r="E3" s="235" t="s">
        <v>72</v>
      </c>
      <c r="F3" s="191" t="s">
        <v>73</v>
      </c>
      <c r="G3" s="235" t="s">
        <v>123</v>
      </c>
      <c r="H3" s="191" t="s">
        <v>126</v>
      </c>
      <c r="I3" s="189" t="s">
        <v>72</v>
      </c>
      <c r="J3" s="189" t="s">
        <v>73</v>
      </c>
      <c r="K3" s="235" t="s">
        <v>123</v>
      </c>
      <c r="L3" s="191" t="s">
        <v>126</v>
      </c>
      <c r="M3" s="235" t="s">
        <v>72</v>
      </c>
      <c r="N3" s="191" t="s">
        <v>73</v>
      </c>
      <c r="O3" s="235" t="s">
        <v>123</v>
      </c>
      <c r="P3" s="191" t="s">
        <v>126</v>
      </c>
      <c r="Q3" s="189" t="s">
        <v>72</v>
      </c>
      <c r="R3" s="189" t="s">
        <v>73</v>
      </c>
      <c r="S3" s="235" t="s">
        <v>123</v>
      </c>
      <c r="T3" s="191" t="s">
        <v>126</v>
      </c>
      <c r="U3" s="235" t="s">
        <v>72</v>
      </c>
      <c r="V3" s="191" t="s">
        <v>73</v>
      </c>
      <c r="W3" s="235" t="s">
        <v>123</v>
      </c>
      <c r="X3" s="191" t="s">
        <v>126</v>
      </c>
      <c r="Y3" s="189" t="s">
        <v>72</v>
      </c>
      <c r="Z3" s="189" t="s">
        <v>73</v>
      </c>
      <c r="AA3" s="235" t="s">
        <v>123</v>
      </c>
      <c r="AB3" s="191" t="s">
        <v>126</v>
      </c>
      <c r="AC3" s="235" t="s">
        <v>72</v>
      </c>
      <c r="AD3" s="189" t="s">
        <v>73</v>
      </c>
      <c r="AE3" s="235" t="s">
        <v>123</v>
      </c>
      <c r="AF3" s="191" t="s">
        <v>126</v>
      </c>
      <c r="AG3" s="235" t="s">
        <v>72</v>
      </c>
      <c r="AH3" s="191" t="s">
        <v>73</v>
      </c>
      <c r="AI3" s="235" t="s">
        <v>123</v>
      </c>
      <c r="AJ3" s="191" t="s">
        <v>126</v>
      </c>
      <c r="AK3" s="189" t="s">
        <v>72</v>
      </c>
      <c r="AL3" s="189" t="s">
        <v>73</v>
      </c>
      <c r="AM3" s="235" t="s">
        <v>123</v>
      </c>
      <c r="AN3" s="191" t="s">
        <v>126</v>
      </c>
      <c r="AO3" s="235" t="s">
        <v>72</v>
      </c>
      <c r="AP3" s="191" t="s">
        <v>73</v>
      </c>
      <c r="AQ3" s="235" t="s">
        <v>123</v>
      </c>
      <c r="AR3" s="191" t="s">
        <v>126</v>
      </c>
      <c r="AS3" s="189" t="s">
        <v>72</v>
      </c>
      <c r="AT3" s="189" t="s">
        <v>73</v>
      </c>
      <c r="AU3" s="235" t="s">
        <v>123</v>
      </c>
      <c r="AV3" s="191" t="s">
        <v>126</v>
      </c>
      <c r="AW3" s="235" t="s">
        <v>72</v>
      </c>
      <c r="AX3" s="191" t="s">
        <v>73</v>
      </c>
      <c r="AY3" s="235" t="s">
        <v>123</v>
      </c>
      <c r="AZ3" s="191" t="s">
        <v>126</v>
      </c>
      <c r="BA3" s="189" t="s">
        <v>72</v>
      </c>
      <c r="BB3" s="189" t="s">
        <v>73</v>
      </c>
      <c r="BC3" s="235" t="s">
        <v>123</v>
      </c>
      <c r="BD3" s="191" t="s">
        <v>126</v>
      </c>
      <c r="BE3" s="235" t="s">
        <v>72</v>
      </c>
      <c r="BF3" s="191" t="s">
        <v>73</v>
      </c>
      <c r="BG3" s="235" t="s">
        <v>123</v>
      </c>
      <c r="BH3" s="191" t="s">
        <v>126</v>
      </c>
      <c r="BI3" s="189" t="s">
        <v>72</v>
      </c>
      <c r="BJ3" s="235" t="s">
        <v>73</v>
      </c>
      <c r="BK3" s="235" t="s">
        <v>123</v>
      </c>
      <c r="BL3" s="191" t="s">
        <v>126</v>
      </c>
      <c r="BM3" s="235" t="s">
        <v>72</v>
      </c>
      <c r="BN3" s="191" t="s">
        <v>73</v>
      </c>
      <c r="BO3" s="235" t="s">
        <v>123</v>
      </c>
      <c r="BP3" s="191" t="s">
        <v>126</v>
      </c>
      <c r="BQ3" s="189" t="s">
        <v>72</v>
      </c>
      <c r="BR3" s="189" t="s">
        <v>73</v>
      </c>
      <c r="BS3" s="235" t="s">
        <v>123</v>
      </c>
      <c r="BT3" s="191" t="s">
        <v>126</v>
      </c>
      <c r="BU3" s="235" t="s">
        <v>72</v>
      </c>
      <c r="BV3" s="191" t="s">
        <v>73</v>
      </c>
      <c r="BW3" s="235" t="s">
        <v>123</v>
      </c>
      <c r="BX3" s="191" t="s">
        <v>126</v>
      </c>
      <c r="BY3" s="189" t="s">
        <v>72</v>
      </c>
      <c r="BZ3" s="189" t="s">
        <v>73</v>
      </c>
      <c r="CA3" s="235" t="s">
        <v>123</v>
      </c>
      <c r="CB3" s="191" t="s">
        <v>126</v>
      </c>
      <c r="CC3" s="235" t="s">
        <v>72</v>
      </c>
      <c r="CD3" s="191" t="s">
        <v>73</v>
      </c>
      <c r="CE3" s="235" t="s">
        <v>123</v>
      </c>
      <c r="CF3" s="191" t="s">
        <v>126</v>
      </c>
      <c r="CG3" s="189" t="s">
        <v>72</v>
      </c>
      <c r="CH3" s="189" t="s">
        <v>73</v>
      </c>
      <c r="CI3" s="235" t="s">
        <v>123</v>
      </c>
      <c r="CJ3" s="191" t="s">
        <v>126</v>
      </c>
      <c r="CK3" s="235" t="s">
        <v>72</v>
      </c>
      <c r="CL3" s="191" t="s">
        <v>73</v>
      </c>
      <c r="CM3" s="235" t="s">
        <v>123</v>
      </c>
      <c r="CN3" s="191" t="s">
        <v>126</v>
      </c>
      <c r="CO3" s="189" t="s">
        <v>72</v>
      </c>
      <c r="CP3" s="189" t="s">
        <v>73</v>
      </c>
      <c r="CQ3" s="235" t="s">
        <v>123</v>
      </c>
      <c r="CR3" s="191" t="s">
        <v>126</v>
      </c>
      <c r="CS3" s="235" t="s">
        <v>72</v>
      </c>
      <c r="CT3" s="191" t="s">
        <v>73</v>
      </c>
      <c r="CU3" s="235" t="s">
        <v>123</v>
      </c>
      <c r="CV3" s="191" t="s">
        <v>126</v>
      </c>
      <c r="CW3" s="189" t="s">
        <v>72</v>
      </c>
      <c r="CX3" s="235" t="s">
        <v>73</v>
      </c>
      <c r="CY3" s="190" t="s">
        <v>123</v>
      </c>
      <c r="CZ3" s="191" t="s">
        <v>126</v>
      </c>
      <c r="DA3" s="235" t="s">
        <v>72</v>
      </c>
      <c r="DB3" s="191" t="s">
        <v>73</v>
      </c>
      <c r="DC3" s="235" t="s">
        <v>123</v>
      </c>
      <c r="DD3" s="191" t="s">
        <v>126</v>
      </c>
      <c r="DE3" s="189" t="s">
        <v>72</v>
      </c>
      <c r="DF3" s="189" t="s">
        <v>73</v>
      </c>
      <c r="DG3" s="235" t="s">
        <v>123</v>
      </c>
      <c r="DH3" s="191" t="s">
        <v>126</v>
      </c>
      <c r="DI3" s="235" t="s">
        <v>72</v>
      </c>
    </row>
    <row r="4" spans="1:113" s="245" customFormat="1" ht="112.5">
      <c r="A4" s="239" t="s">
        <v>168</v>
      </c>
      <c r="B4" s="192">
        <v>10</v>
      </c>
      <c r="C4" s="192" t="s">
        <v>34</v>
      </c>
      <c r="D4" s="192" t="s">
        <v>34</v>
      </c>
      <c r="E4" s="192">
        <v>15</v>
      </c>
      <c r="F4" s="192">
        <v>15</v>
      </c>
      <c r="G4" s="192" t="s">
        <v>34</v>
      </c>
      <c r="H4" s="192" t="s">
        <v>34</v>
      </c>
      <c r="I4" s="192">
        <v>15</v>
      </c>
      <c r="J4" s="192">
        <v>20</v>
      </c>
      <c r="K4" s="192" t="s">
        <v>34</v>
      </c>
      <c r="L4" s="192" t="s">
        <v>34</v>
      </c>
      <c r="M4" s="192">
        <v>20</v>
      </c>
      <c r="N4" s="192">
        <v>23</v>
      </c>
      <c r="O4" s="192" t="s">
        <v>34</v>
      </c>
      <c r="P4" s="192" t="s">
        <v>34</v>
      </c>
      <c r="Q4" s="192">
        <v>23</v>
      </c>
      <c r="R4" s="192">
        <v>15</v>
      </c>
      <c r="S4" s="192" t="s">
        <v>34</v>
      </c>
      <c r="T4" s="192" t="s">
        <v>34</v>
      </c>
      <c r="U4" s="192">
        <v>15</v>
      </c>
      <c r="V4" s="192">
        <v>16</v>
      </c>
      <c r="W4" s="192" t="s">
        <v>34</v>
      </c>
      <c r="X4" s="192" t="s">
        <v>34</v>
      </c>
      <c r="Y4" s="192">
        <v>16</v>
      </c>
      <c r="Z4" s="240" t="s">
        <v>169</v>
      </c>
      <c r="AA4" s="192" t="s">
        <v>34</v>
      </c>
      <c r="AB4" s="192" t="s">
        <v>34</v>
      </c>
      <c r="AC4" s="240" t="s">
        <v>170</v>
      </c>
      <c r="AD4" s="192">
        <v>16</v>
      </c>
      <c r="AE4" s="192" t="s">
        <v>34</v>
      </c>
      <c r="AF4" s="192" t="s">
        <v>34</v>
      </c>
      <c r="AG4" s="192">
        <v>16</v>
      </c>
      <c r="AH4" s="240" t="s">
        <v>171</v>
      </c>
      <c r="AI4" s="192" t="s">
        <v>34</v>
      </c>
      <c r="AJ4" s="192" t="s">
        <v>34</v>
      </c>
      <c r="AK4" s="240" t="s">
        <v>171</v>
      </c>
      <c r="AL4" s="240" t="s">
        <v>172</v>
      </c>
      <c r="AM4" s="192" t="s">
        <v>34</v>
      </c>
      <c r="AN4" s="192" t="s">
        <v>34</v>
      </c>
      <c r="AO4" s="241" t="s">
        <v>193</v>
      </c>
      <c r="AP4" s="240" t="s">
        <v>173</v>
      </c>
      <c r="AQ4" s="192" t="s">
        <v>34</v>
      </c>
      <c r="AR4" s="192" t="s">
        <v>34</v>
      </c>
      <c r="AS4" s="240" t="s">
        <v>194</v>
      </c>
      <c r="AT4" s="240" t="s">
        <v>174</v>
      </c>
      <c r="AU4" s="192" t="s">
        <v>34</v>
      </c>
      <c r="AV4" s="192" t="s">
        <v>34</v>
      </c>
      <c r="AW4" s="241" t="s">
        <v>199</v>
      </c>
      <c r="AX4" s="240" t="s">
        <v>175</v>
      </c>
      <c r="AY4" s="192" t="s">
        <v>34</v>
      </c>
      <c r="AZ4" s="192" t="s">
        <v>34</v>
      </c>
      <c r="BA4" s="240" t="s">
        <v>175</v>
      </c>
      <c r="BB4" s="242" t="s">
        <v>176</v>
      </c>
      <c r="BC4" s="192" t="s">
        <v>34</v>
      </c>
      <c r="BD4" s="192" t="s">
        <v>34</v>
      </c>
      <c r="BE4" s="242" t="s">
        <v>176</v>
      </c>
      <c r="BF4" s="192">
        <v>42</v>
      </c>
      <c r="BG4" s="192" t="s">
        <v>34</v>
      </c>
      <c r="BH4" s="192" t="s">
        <v>34</v>
      </c>
      <c r="BI4" s="192">
        <v>42</v>
      </c>
      <c r="BJ4" s="240" t="s">
        <v>177</v>
      </c>
      <c r="BK4" s="192" t="s">
        <v>34</v>
      </c>
      <c r="BL4" s="192" t="s">
        <v>34</v>
      </c>
      <c r="BM4" s="240" t="s">
        <v>177</v>
      </c>
      <c r="BN4" s="240" t="s">
        <v>178</v>
      </c>
      <c r="BO4" s="192" t="s">
        <v>34</v>
      </c>
      <c r="BP4" s="192" t="s">
        <v>34</v>
      </c>
      <c r="BQ4" s="241" t="s">
        <v>200</v>
      </c>
      <c r="BR4" s="192">
        <v>21.5</v>
      </c>
      <c r="BS4" s="192" t="s">
        <v>34</v>
      </c>
      <c r="BT4" s="192" t="s">
        <v>34</v>
      </c>
      <c r="BU4" s="243" t="s">
        <v>201</v>
      </c>
      <c r="BV4" s="240" t="s">
        <v>179</v>
      </c>
      <c r="BW4" s="192" t="s">
        <v>34</v>
      </c>
      <c r="BX4" s="192" t="s">
        <v>34</v>
      </c>
      <c r="BY4" s="241" t="s">
        <v>202</v>
      </c>
      <c r="BZ4" s="240" t="s">
        <v>180</v>
      </c>
      <c r="CA4" s="192" t="s">
        <v>34</v>
      </c>
      <c r="CB4" s="192" t="s">
        <v>34</v>
      </c>
      <c r="CC4" s="241" t="s">
        <v>204</v>
      </c>
      <c r="CD4" s="240" t="s">
        <v>181</v>
      </c>
      <c r="CE4" s="192" t="s">
        <v>34</v>
      </c>
      <c r="CF4" s="192" t="s">
        <v>34</v>
      </c>
      <c r="CG4" s="243" t="s">
        <v>203</v>
      </c>
      <c r="CH4" s="240" t="s">
        <v>182</v>
      </c>
      <c r="CI4" s="192" t="s">
        <v>34</v>
      </c>
      <c r="CJ4" s="192" t="s">
        <v>34</v>
      </c>
      <c r="CK4" s="240" t="s">
        <v>195</v>
      </c>
      <c r="CL4" s="240" t="s">
        <v>183</v>
      </c>
      <c r="CM4" s="192" t="s">
        <v>34</v>
      </c>
      <c r="CN4" s="192" t="s">
        <v>34</v>
      </c>
      <c r="CO4" s="240" t="s">
        <v>183</v>
      </c>
      <c r="CP4" s="240" t="s">
        <v>184</v>
      </c>
      <c r="CQ4" s="192" t="s">
        <v>34</v>
      </c>
      <c r="CR4" s="192" t="s">
        <v>34</v>
      </c>
      <c r="CS4" s="243" t="s">
        <v>205</v>
      </c>
      <c r="CT4" s="240" t="s">
        <v>185</v>
      </c>
      <c r="CU4" s="192" t="s">
        <v>34</v>
      </c>
      <c r="CV4" s="192" t="s">
        <v>34</v>
      </c>
      <c r="CW4" s="240" t="s">
        <v>185</v>
      </c>
      <c r="CX4" s="244" t="s">
        <v>186</v>
      </c>
      <c r="CY4" s="192" t="s">
        <v>34</v>
      </c>
      <c r="CZ4" s="192" t="s">
        <v>34</v>
      </c>
      <c r="DA4" s="244" t="s">
        <v>186</v>
      </c>
      <c r="DB4" s="240" t="s">
        <v>187</v>
      </c>
      <c r="DC4" s="192" t="s">
        <v>34</v>
      </c>
      <c r="DD4" s="192" t="s">
        <v>34</v>
      </c>
      <c r="DE4" s="240" t="s">
        <v>187</v>
      </c>
      <c r="DF4" s="240" t="s">
        <v>188</v>
      </c>
      <c r="DG4" s="192" t="s">
        <v>34</v>
      </c>
      <c r="DH4" s="192" t="s">
        <v>34</v>
      </c>
      <c r="DI4" s="240" t="s">
        <v>188</v>
      </c>
    </row>
    <row r="5" spans="1:113" s="245" customFormat="1">
      <c r="A5" s="239" t="s">
        <v>189</v>
      </c>
      <c r="B5" s="192">
        <f>B8</f>
        <v>12.900000000000002</v>
      </c>
      <c r="C5" s="192">
        <f t="shared" ref="C5:AV5" si="0">C8</f>
        <v>18.099999999999998</v>
      </c>
      <c r="D5" s="192">
        <f t="shared" si="0"/>
        <v>31</v>
      </c>
      <c r="E5" s="192">
        <f t="shared" si="0"/>
        <v>25.8</v>
      </c>
      <c r="F5" s="192">
        <f t="shared" si="0"/>
        <v>11</v>
      </c>
      <c r="G5" s="192">
        <f t="shared" si="0"/>
        <v>34</v>
      </c>
      <c r="H5" s="192">
        <f t="shared" si="0"/>
        <v>45</v>
      </c>
      <c r="I5" s="192">
        <f t="shared" si="0"/>
        <v>42.7</v>
      </c>
      <c r="J5" s="192">
        <f t="shared" si="0"/>
        <v>1.6</v>
      </c>
      <c r="K5" s="192">
        <f t="shared" si="0"/>
        <v>33.799999999999997</v>
      </c>
      <c r="L5" s="192">
        <f t="shared" si="0"/>
        <v>35.4</v>
      </c>
      <c r="M5" s="192">
        <f t="shared" si="0"/>
        <v>33</v>
      </c>
      <c r="N5" s="192">
        <f t="shared" si="0"/>
        <v>10.5</v>
      </c>
      <c r="O5" s="192">
        <f t="shared" si="0"/>
        <v>23.589999999999996</v>
      </c>
      <c r="P5" s="192">
        <f t="shared" si="0"/>
        <v>34.089999999999996</v>
      </c>
      <c r="Q5" s="192">
        <f t="shared" si="0"/>
        <v>31.060000000000002</v>
      </c>
      <c r="R5" s="192">
        <f t="shared" si="0"/>
        <v>12</v>
      </c>
      <c r="S5" s="192">
        <f t="shared" si="0"/>
        <v>34.200000000000003</v>
      </c>
      <c r="T5" s="192">
        <f t="shared" si="0"/>
        <v>46.2</v>
      </c>
      <c r="U5" s="192">
        <f t="shared" si="0"/>
        <v>37.5</v>
      </c>
      <c r="V5" s="192">
        <f t="shared" si="0"/>
        <v>18.5</v>
      </c>
      <c r="W5" s="192">
        <f t="shared" si="0"/>
        <v>27</v>
      </c>
      <c r="X5" s="192">
        <f t="shared" si="0"/>
        <v>45.5</v>
      </c>
      <c r="Y5" s="192">
        <f t="shared" si="0"/>
        <v>27</v>
      </c>
      <c r="Z5" s="192">
        <f t="shared" si="0"/>
        <v>22.709999999999997</v>
      </c>
      <c r="AA5" s="192">
        <f t="shared" si="0"/>
        <v>16.259999999999998</v>
      </c>
      <c r="AB5" s="192">
        <f t="shared" si="0"/>
        <v>38.97</v>
      </c>
      <c r="AC5" s="192">
        <f t="shared" si="0"/>
        <v>29.02</v>
      </c>
      <c r="AD5" s="192">
        <f t="shared" si="0"/>
        <v>16.5</v>
      </c>
      <c r="AE5" s="192">
        <f t="shared" si="0"/>
        <v>22.85</v>
      </c>
      <c r="AF5" s="192">
        <f t="shared" si="0"/>
        <v>39.35</v>
      </c>
      <c r="AG5" s="192">
        <f t="shared" si="0"/>
        <v>16</v>
      </c>
      <c r="AH5" s="192">
        <f t="shared" si="0"/>
        <v>22.1</v>
      </c>
      <c r="AI5" s="192">
        <f t="shared" si="0"/>
        <v>16.100000000000001</v>
      </c>
      <c r="AJ5" s="192">
        <f t="shared" si="0"/>
        <v>38.200000000000003</v>
      </c>
      <c r="AK5" s="192">
        <f t="shared" si="0"/>
        <v>38.200000000000003</v>
      </c>
      <c r="AL5" s="192">
        <f t="shared" si="0"/>
        <v>13.4</v>
      </c>
      <c r="AM5" s="192">
        <f t="shared" si="0"/>
        <v>35.200000000000003</v>
      </c>
      <c r="AN5" s="192">
        <f t="shared" si="0"/>
        <v>48.6</v>
      </c>
      <c r="AO5" s="192">
        <f t="shared" si="0"/>
        <v>47.15</v>
      </c>
      <c r="AP5" s="192">
        <f t="shared" si="0"/>
        <v>17.07</v>
      </c>
      <c r="AQ5" s="192">
        <f t="shared" si="0"/>
        <v>21.730000000000004</v>
      </c>
      <c r="AR5" s="192">
        <f t="shared" si="0"/>
        <v>38.800000000000004</v>
      </c>
      <c r="AS5" s="192">
        <f t="shared" si="0"/>
        <v>26.15</v>
      </c>
      <c r="AT5" s="192">
        <f t="shared" si="0"/>
        <v>13.069999999999999</v>
      </c>
      <c r="AU5" s="192">
        <f t="shared" si="0"/>
        <v>34.700000000000003</v>
      </c>
      <c r="AV5" s="192">
        <f t="shared" si="0"/>
        <v>47.77</v>
      </c>
      <c r="AW5" s="192">
        <f>(22+14.16)/2</f>
        <v>18.079999999999998</v>
      </c>
      <c r="AX5" s="192">
        <f>AX8</f>
        <v>15</v>
      </c>
      <c r="AY5" s="192">
        <f t="shared" ref="AY5:BJ5" si="1">AY8</f>
        <v>17.2</v>
      </c>
      <c r="AZ5" s="192">
        <f t="shared" si="1"/>
        <v>32.200000000000003</v>
      </c>
      <c r="BA5" s="192">
        <f t="shared" si="1"/>
        <v>36.700000000000003</v>
      </c>
      <c r="BB5" s="192">
        <f t="shared" si="1"/>
        <v>7.8</v>
      </c>
      <c r="BC5" s="192">
        <f t="shared" si="1"/>
        <v>9.5</v>
      </c>
      <c r="BD5" s="192">
        <f t="shared" si="1"/>
        <v>17.3</v>
      </c>
      <c r="BE5" s="192">
        <f t="shared" si="1"/>
        <v>17.600000000000001</v>
      </c>
      <c r="BF5" s="193">
        <v>1136</v>
      </c>
      <c r="BG5" s="193">
        <f>(10000+8000)/2</f>
        <v>9000</v>
      </c>
      <c r="BH5" s="193">
        <f>BG5+BF5</f>
        <v>10136</v>
      </c>
      <c r="BI5" s="192" t="s">
        <v>148</v>
      </c>
      <c r="BJ5" s="192">
        <f t="shared" si="1"/>
        <v>8.4500000000000011</v>
      </c>
      <c r="BK5" s="192">
        <v>20.88</v>
      </c>
      <c r="BL5" s="192">
        <f>BK5+BJ5</f>
        <v>29.33</v>
      </c>
      <c r="BM5" s="192">
        <f>BM8</f>
        <v>23.7</v>
      </c>
      <c r="BN5" s="192">
        <v>12.45</v>
      </c>
      <c r="BO5" s="192">
        <v>40.04</v>
      </c>
      <c r="BP5" s="192">
        <f>BO5+BN5</f>
        <v>52.489999999999995</v>
      </c>
      <c r="BQ5" s="192">
        <f>(20.6+28.8)/2</f>
        <v>24.700000000000003</v>
      </c>
      <c r="BR5" s="192">
        <f>BR8</f>
        <v>20.229999999999997</v>
      </c>
      <c r="BS5" s="192">
        <f t="shared" ref="BS5:BU5" si="2">BS8</f>
        <v>19.329999999999998</v>
      </c>
      <c r="BT5" s="192">
        <f t="shared" si="2"/>
        <v>39.559999999999995</v>
      </c>
      <c r="BU5" s="192">
        <f t="shared" si="2"/>
        <v>14</v>
      </c>
      <c r="BV5" s="192">
        <f>BV8</f>
        <v>15.499999999999998</v>
      </c>
      <c r="BW5" s="192">
        <f t="shared" ref="BW5:BY5" si="3">BW8</f>
        <v>24.71</v>
      </c>
      <c r="BX5" s="192">
        <f t="shared" si="3"/>
        <v>40.21</v>
      </c>
      <c r="BY5" s="192">
        <f t="shared" si="3"/>
        <v>27.6</v>
      </c>
      <c r="BZ5" s="192">
        <f>BZ8</f>
        <v>4</v>
      </c>
      <c r="CA5" s="194">
        <f>(8.5+10.75)/2</f>
        <v>9.625</v>
      </c>
      <c r="CB5" s="194">
        <f>CA5+BZ5</f>
        <v>13.625</v>
      </c>
      <c r="CC5" s="192">
        <f>CC8</f>
        <v>4</v>
      </c>
      <c r="CD5" s="192">
        <f>(9.45+10.49)/2</f>
        <v>9.9699999999999989</v>
      </c>
      <c r="CE5" s="192">
        <f>CE8</f>
        <v>28.18</v>
      </c>
      <c r="CF5" s="192">
        <f>CE5+CD5</f>
        <v>38.15</v>
      </c>
      <c r="CG5" s="192">
        <f>(22.65+23.65)/2</f>
        <v>23.15</v>
      </c>
      <c r="CH5" s="194">
        <f>CH8</f>
        <v>28.15</v>
      </c>
      <c r="CI5" s="194">
        <f t="shared" ref="CI5:CS5" si="4">CI8</f>
        <v>18.47</v>
      </c>
      <c r="CJ5" s="194">
        <f t="shared" si="4"/>
        <v>46.62</v>
      </c>
      <c r="CK5" s="194">
        <f t="shared" si="4"/>
        <v>33.65</v>
      </c>
      <c r="CL5" s="194">
        <f t="shared" si="4"/>
        <v>11</v>
      </c>
      <c r="CM5" s="194">
        <f t="shared" si="4"/>
        <v>23.75</v>
      </c>
      <c r="CN5" s="194">
        <f t="shared" si="4"/>
        <v>34.75</v>
      </c>
      <c r="CO5" s="194">
        <f t="shared" si="4"/>
        <v>29.6</v>
      </c>
      <c r="CP5" s="194">
        <f t="shared" si="4"/>
        <v>6.35</v>
      </c>
      <c r="CQ5" s="194">
        <f t="shared" si="4"/>
        <v>29.900000000000002</v>
      </c>
      <c r="CR5" s="194">
        <f t="shared" si="4"/>
        <v>36.25</v>
      </c>
      <c r="CS5" s="194">
        <f t="shared" si="4"/>
        <v>29.8</v>
      </c>
      <c r="CT5" s="192">
        <v>12</v>
      </c>
      <c r="CU5" s="192">
        <f>13.8/2</f>
        <v>6.9</v>
      </c>
      <c r="CV5" s="192">
        <f>CU5+CT5</f>
        <v>18.899999999999999</v>
      </c>
      <c r="CW5" s="192">
        <f>(9+2)/2</f>
        <v>5.5</v>
      </c>
      <c r="CX5" s="192">
        <f>CX8</f>
        <v>12.950000000000001</v>
      </c>
      <c r="CY5" s="192">
        <f t="shared" ref="CY5:DA5" si="5">CY8</f>
        <v>13.5</v>
      </c>
      <c r="CZ5" s="192">
        <f t="shared" si="5"/>
        <v>26.450000000000003</v>
      </c>
      <c r="DA5" s="192">
        <f t="shared" si="5"/>
        <v>23.200000000000003</v>
      </c>
      <c r="DB5" s="192">
        <f>(16.3+10)/2</f>
        <v>13.15</v>
      </c>
      <c r="DC5" s="192">
        <v>16.63</v>
      </c>
      <c r="DD5" s="192">
        <f>DC5+DB5</f>
        <v>29.78</v>
      </c>
      <c r="DE5" s="192">
        <v>28.45</v>
      </c>
      <c r="DF5" s="192">
        <f>DF8</f>
        <v>7</v>
      </c>
      <c r="DG5" s="192">
        <f t="shared" ref="DG5:DI5" si="6">DG8</f>
        <v>31.42</v>
      </c>
      <c r="DH5" s="192">
        <f t="shared" si="6"/>
        <v>38.42</v>
      </c>
      <c r="DI5" s="192">
        <f t="shared" si="6"/>
        <v>28.970000000000002</v>
      </c>
    </row>
    <row r="6" spans="1:113" s="245" customFormat="1" ht="43.9" customHeight="1">
      <c r="A6" s="246" t="s">
        <v>190</v>
      </c>
      <c r="B6" s="333">
        <v>21</v>
      </c>
      <c r="C6" s="333"/>
      <c r="D6" s="333"/>
      <c r="E6" s="333"/>
      <c r="F6" s="333">
        <v>7</v>
      </c>
      <c r="G6" s="333"/>
      <c r="H6" s="333"/>
      <c r="I6" s="333"/>
      <c r="J6" s="333">
        <v>17</v>
      </c>
      <c r="K6" s="333"/>
      <c r="L6" s="333"/>
      <c r="M6" s="333"/>
      <c r="N6" s="333">
        <v>19</v>
      </c>
      <c r="O6" s="333"/>
      <c r="P6" s="333"/>
      <c r="Q6" s="333"/>
      <c r="R6" s="333">
        <v>5</v>
      </c>
      <c r="S6" s="333"/>
      <c r="T6" s="333"/>
      <c r="U6" s="333"/>
      <c r="V6" s="333">
        <v>6</v>
      </c>
      <c r="W6" s="333"/>
      <c r="X6" s="333"/>
      <c r="Y6" s="333"/>
      <c r="Z6" s="333">
        <v>11</v>
      </c>
      <c r="AA6" s="333"/>
      <c r="AB6" s="333"/>
      <c r="AC6" s="333"/>
      <c r="AD6" s="333">
        <v>10</v>
      </c>
      <c r="AE6" s="333"/>
      <c r="AF6" s="333"/>
      <c r="AG6" s="333"/>
      <c r="AH6" s="333">
        <v>14</v>
      </c>
      <c r="AI6" s="333"/>
      <c r="AJ6" s="333"/>
      <c r="AK6" s="333"/>
      <c r="AL6" s="333">
        <v>2</v>
      </c>
      <c r="AM6" s="333"/>
      <c r="AN6" s="333"/>
      <c r="AO6" s="333"/>
      <c r="AP6" s="333">
        <v>12</v>
      </c>
      <c r="AQ6" s="333"/>
      <c r="AR6" s="333"/>
      <c r="AS6" s="333"/>
      <c r="AT6" s="333">
        <v>3</v>
      </c>
      <c r="AU6" s="333"/>
      <c r="AV6" s="333"/>
      <c r="AW6" s="333"/>
      <c r="AX6" s="333">
        <v>20</v>
      </c>
      <c r="AY6" s="333"/>
      <c r="AZ6" s="333"/>
      <c r="BA6" s="333"/>
      <c r="BB6" s="333">
        <v>26</v>
      </c>
      <c r="BC6" s="333"/>
      <c r="BD6" s="333"/>
      <c r="BE6" s="333"/>
      <c r="BF6" s="352">
        <v>28</v>
      </c>
      <c r="BG6" s="352"/>
      <c r="BH6" s="352"/>
      <c r="BI6" s="352"/>
      <c r="BJ6" s="333">
        <v>23</v>
      </c>
      <c r="BK6" s="333"/>
      <c r="BL6" s="333"/>
      <c r="BM6" s="333"/>
      <c r="BN6" s="333">
        <v>1</v>
      </c>
      <c r="BO6" s="333"/>
      <c r="BP6" s="333"/>
      <c r="BQ6" s="333"/>
      <c r="BR6" s="333">
        <v>9</v>
      </c>
      <c r="BS6" s="333"/>
      <c r="BT6" s="333"/>
      <c r="BU6" s="333"/>
      <c r="BV6" s="333">
        <v>8</v>
      </c>
      <c r="BW6" s="333"/>
      <c r="BX6" s="333"/>
      <c r="BY6" s="333"/>
      <c r="BZ6" s="333">
        <v>27</v>
      </c>
      <c r="CA6" s="333"/>
      <c r="CB6" s="333"/>
      <c r="CC6" s="333"/>
      <c r="CD6" s="333">
        <v>15</v>
      </c>
      <c r="CE6" s="333"/>
      <c r="CF6" s="333"/>
      <c r="CG6" s="333"/>
      <c r="CH6" s="344">
        <v>4</v>
      </c>
      <c r="CI6" s="344"/>
      <c r="CJ6" s="344"/>
      <c r="CK6" s="344"/>
      <c r="CL6" s="344">
        <v>18</v>
      </c>
      <c r="CM6" s="344"/>
      <c r="CN6" s="344"/>
      <c r="CO6" s="344"/>
      <c r="CP6" s="344">
        <v>16</v>
      </c>
      <c r="CQ6" s="344"/>
      <c r="CR6" s="344"/>
      <c r="CS6" s="344"/>
      <c r="CT6" s="333">
        <v>25</v>
      </c>
      <c r="CU6" s="333"/>
      <c r="CV6" s="333"/>
      <c r="CW6" s="333"/>
      <c r="CX6" s="333">
        <v>24</v>
      </c>
      <c r="CY6" s="333"/>
      <c r="CZ6" s="333"/>
      <c r="DA6" s="333"/>
      <c r="DB6" s="333">
        <v>22</v>
      </c>
      <c r="DC6" s="333"/>
      <c r="DD6" s="333"/>
      <c r="DE6" s="333"/>
      <c r="DF6" s="333">
        <v>13</v>
      </c>
      <c r="DG6" s="333"/>
      <c r="DH6" s="333"/>
      <c r="DI6" s="333"/>
    </row>
    <row r="7" spans="1:113" s="245" customFormat="1" ht="50.65" customHeight="1">
      <c r="A7" s="246" t="s">
        <v>191</v>
      </c>
      <c r="B7" s="333">
        <v>17</v>
      </c>
      <c r="C7" s="333"/>
      <c r="D7" s="333"/>
      <c r="E7" s="333"/>
      <c r="F7" s="333">
        <v>2</v>
      </c>
      <c r="G7" s="333"/>
      <c r="H7" s="333"/>
      <c r="I7" s="333"/>
      <c r="J7" s="333">
        <v>7</v>
      </c>
      <c r="K7" s="333"/>
      <c r="L7" s="333"/>
      <c r="M7" s="333"/>
      <c r="N7" s="333">
        <v>8</v>
      </c>
      <c r="O7" s="333"/>
      <c r="P7" s="333"/>
      <c r="Q7" s="333"/>
      <c r="R7" s="333">
        <v>5</v>
      </c>
      <c r="S7" s="333"/>
      <c r="T7" s="333"/>
      <c r="U7" s="333"/>
      <c r="V7" s="333">
        <v>15</v>
      </c>
      <c r="W7" s="333"/>
      <c r="X7" s="333"/>
      <c r="Y7" s="333"/>
      <c r="Z7" s="333">
        <v>11</v>
      </c>
      <c r="AA7" s="333"/>
      <c r="AB7" s="333"/>
      <c r="AC7" s="333"/>
      <c r="AD7" s="333">
        <v>24</v>
      </c>
      <c r="AE7" s="333"/>
      <c r="AF7" s="333"/>
      <c r="AG7" s="333"/>
      <c r="AH7" s="333">
        <v>3</v>
      </c>
      <c r="AI7" s="333"/>
      <c r="AJ7" s="333"/>
      <c r="AK7" s="333"/>
      <c r="AL7" s="333">
        <v>1</v>
      </c>
      <c r="AM7" s="333"/>
      <c r="AN7" s="333"/>
      <c r="AO7" s="333"/>
      <c r="AP7" s="333">
        <v>16</v>
      </c>
      <c r="AQ7" s="333"/>
      <c r="AR7" s="333"/>
      <c r="AS7" s="333"/>
      <c r="AT7" s="333">
        <v>22</v>
      </c>
      <c r="AU7" s="333"/>
      <c r="AV7" s="333"/>
      <c r="AW7" s="333"/>
      <c r="AX7" s="333">
        <v>4</v>
      </c>
      <c r="AY7" s="333"/>
      <c r="AZ7" s="333"/>
      <c r="BA7" s="333"/>
      <c r="BB7" s="333">
        <v>23</v>
      </c>
      <c r="BC7" s="333"/>
      <c r="BD7" s="333"/>
      <c r="BE7" s="333"/>
      <c r="BF7" s="352">
        <v>28</v>
      </c>
      <c r="BG7" s="352"/>
      <c r="BH7" s="352"/>
      <c r="BI7" s="352"/>
      <c r="BJ7" s="333">
        <v>19</v>
      </c>
      <c r="BK7" s="333"/>
      <c r="BL7" s="333"/>
      <c r="BM7" s="333"/>
      <c r="BN7" s="333">
        <v>18</v>
      </c>
      <c r="BO7" s="333"/>
      <c r="BP7" s="333"/>
      <c r="BQ7" s="333"/>
      <c r="BR7" s="333">
        <v>25</v>
      </c>
      <c r="BS7" s="333"/>
      <c r="BT7" s="333"/>
      <c r="BU7" s="333"/>
      <c r="BV7" s="333">
        <v>14</v>
      </c>
      <c r="BW7" s="333"/>
      <c r="BX7" s="333"/>
      <c r="BY7" s="333"/>
      <c r="BZ7" s="333">
        <v>27</v>
      </c>
      <c r="CA7" s="333"/>
      <c r="CB7" s="333"/>
      <c r="CC7" s="333"/>
      <c r="CD7" s="333">
        <v>21</v>
      </c>
      <c r="CE7" s="333"/>
      <c r="CF7" s="333"/>
      <c r="CG7" s="333"/>
      <c r="CH7" s="345">
        <v>6</v>
      </c>
      <c r="CI7" s="345"/>
      <c r="CJ7" s="345"/>
      <c r="CK7" s="345"/>
      <c r="CL7" s="345">
        <v>10</v>
      </c>
      <c r="CM7" s="345"/>
      <c r="CN7" s="345"/>
      <c r="CO7" s="345"/>
      <c r="CP7" s="345">
        <v>9</v>
      </c>
      <c r="CQ7" s="345"/>
      <c r="CR7" s="345"/>
      <c r="CS7" s="345"/>
      <c r="CT7" s="333">
        <v>26</v>
      </c>
      <c r="CU7" s="333"/>
      <c r="CV7" s="333"/>
      <c r="CW7" s="333"/>
      <c r="CX7" s="333">
        <v>20</v>
      </c>
      <c r="CY7" s="333"/>
      <c r="CZ7" s="333"/>
      <c r="DA7" s="333"/>
      <c r="DB7" s="333">
        <v>13</v>
      </c>
      <c r="DC7" s="333"/>
      <c r="DD7" s="333"/>
      <c r="DE7" s="333"/>
      <c r="DF7" s="333">
        <v>12</v>
      </c>
      <c r="DG7" s="333"/>
      <c r="DH7" s="333"/>
      <c r="DI7" s="333"/>
    </row>
    <row r="8" spans="1:113" ht="38.450000000000003" customHeight="1">
      <c r="A8" s="238" t="s">
        <v>74</v>
      </c>
      <c r="B8" s="74">
        <f>SUM(B9:B12)</f>
        <v>12.900000000000002</v>
      </c>
      <c r="C8" s="46">
        <v>18.099999999999998</v>
      </c>
      <c r="D8" s="46">
        <f>C8+B8</f>
        <v>31</v>
      </c>
      <c r="E8" s="75">
        <v>25.8</v>
      </c>
      <c r="F8" s="157">
        <f>SUM(F9:F12)</f>
        <v>11</v>
      </c>
      <c r="G8" s="46">
        <v>34</v>
      </c>
      <c r="H8" s="46">
        <f>SUM(F8:G8)</f>
        <v>45</v>
      </c>
      <c r="I8" s="155">
        <v>42.7</v>
      </c>
      <c r="J8" s="74">
        <f>SUM(J9:J12)</f>
        <v>1.6</v>
      </c>
      <c r="K8" s="46">
        <v>33.799999999999997</v>
      </c>
      <c r="L8" s="46">
        <f>K8+J8</f>
        <v>35.4</v>
      </c>
      <c r="M8" s="156">
        <v>33</v>
      </c>
      <c r="N8" s="157">
        <f>SUM(N9:N12)</f>
        <v>10.5</v>
      </c>
      <c r="O8" s="46">
        <v>23.589999999999996</v>
      </c>
      <c r="P8" s="46">
        <f>O8+N8</f>
        <v>34.089999999999996</v>
      </c>
      <c r="Q8" s="158">
        <f>+Q9+Q10+Q11</f>
        <v>31.060000000000002</v>
      </c>
      <c r="R8" s="74">
        <f>SUM(R9:R12)</f>
        <v>12</v>
      </c>
      <c r="S8" s="46">
        <v>34.200000000000003</v>
      </c>
      <c r="T8" s="46">
        <f>S8+R8</f>
        <v>46.2</v>
      </c>
      <c r="U8" s="156">
        <f>SUM(U9:U12)</f>
        <v>37.5</v>
      </c>
      <c r="V8" s="157">
        <v>18.5</v>
      </c>
      <c r="W8" s="46">
        <v>27</v>
      </c>
      <c r="X8" s="46">
        <f>W8+V8</f>
        <v>45.5</v>
      </c>
      <c r="Y8" s="159">
        <v>27</v>
      </c>
      <c r="Z8" s="74">
        <f>SUM(Z9:Z12)</f>
        <v>22.709999999999997</v>
      </c>
      <c r="AA8" s="157">
        <v>16.259999999999998</v>
      </c>
      <c r="AB8" s="157">
        <f>AA8+Z8</f>
        <v>38.97</v>
      </c>
      <c r="AC8" s="160">
        <v>29.02</v>
      </c>
      <c r="AD8" s="74">
        <f>SUM(AD9:AD12)</f>
        <v>16.5</v>
      </c>
      <c r="AE8" s="46">
        <v>22.85</v>
      </c>
      <c r="AF8" s="46">
        <f>AE8+AD8</f>
        <v>39.35</v>
      </c>
      <c r="AG8" s="156">
        <f>10.5+5.5</f>
        <v>16</v>
      </c>
      <c r="AH8" s="157">
        <f>SUM(AH9:AH12)</f>
        <v>22.1</v>
      </c>
      <c r="AI8" s="46">
        <v>16.100000000000001</v>
      </c>
      <c r="AJ8" s="46">
        <f>AI8+AH8</f>
        <v>38.200000000000003</v>
      </c>
      <c r="AK8" s="158">
        <f>+AK9+AK10+AK11+AK12</f>
        <v>38.200000000000003</v>
      </c>
      <c r="AL8" s="153">
        <f>SUM(AL9:AL12)</f>
        <v>13.4</v>
      </c>
      <c r="AM8" s="155">
        <v>35.200000000000003</v>
      </c>
      <c r="AN8" s="155">
        <f>AM8+AL8</f>
        <v>48.6</v>
      </c>
      <c r="AO8" s="161">
        <f>+AO9+AO10+AO12</f>
        <v>47.15</v>
      </c>
      <c r="AP8" s="162">
        <f t="shared" ref="AP8:CP8" si="7">SUM(AP9:AP12)</f>
        <v>17.07</v>
      </c>
      <c r="AQ8" s="155">
        <v>21.730000000000004</v>
      </c>
      <c r="AR8" s="155">
        <f>AQ8+AP8</f>
        <v>38.800000000000004</v>
      </c>
      <c r="AS8" s="158">
        <f>+AS9+AS10+AS11</f>
        <v>26.15</v>
      </c>
      <c r="AT8" s="153">
        <f t="shared" si="7"/>
        <v>13.069999999999999</v>
      </c>
      <c r="AU8" s="155">
        <v>34.700000000000003</v>
      </c>
      <c r="AV8" s="155">
        <f>AU8+AT8</f>
        <v>47.77</v>
      </c>
      <c r="AW8" s="154" t="s">
        <v>149</v>
      </c>
      <c r="AX8" s="162">
        <f t="shared" si="7"/>
        <v>15</v>
      </c>
      <c r="AY8" s="155">
        <v>17.2</v>
      </c>
      <c r="AZ8" s="155">
        <f>AY8+AX8</f>
        <v>32.200000000000003</v>
      </c>
      <c r="BA8" s="158">
        <f>+BA9+BA10+BA11</f>
        <v>36.700000000000003</v>
      </c>
      <c r="BB8" s="153">
        <v>7.8</v>
      </c>
      <c r="BC8" s="58">
        <v>9.5</v>
      </c>
      <c r="BD8" s="58">
        <f>BC8+BB8</f>
        <v>17.3</v>
      </c>
      <c r="BE8" s="113">
        <v>17.600000000000001</v>
      </c>
      <c r="BF8" s="163" t="s">
        <v>28</v>
      </c>
      <c r="BG8" s="164" t="s">
        <v>131</v>
      </c>
      <c r="BH8" s="164" t="s">
        <v>192</v>
      </c>
      <c r="BI8" s="165"/>
      <c r="BJ8" s="153">
        <f t="shared" si="7"/>
        <v>8.4500000000000011</v>
      </c>
      <c r="BK8" s="154" t="s">
        <v>134</v>
      </c>
      <c r="BL8" s="155"/>
      <c r="BM8" s="156">
        <v>23.7</v>
      </c>
      <c r="BN8" s="166" t="s">
        <v>29</v>
      </c>
      <c r="BO8" s="167" t="s">
        <v>137</v>
      </c>
      <c r="BP8" s="167"/>
      <c r="BQ8" s="168" t="s">
        <v>101</v>
      </c>
      <c r="BR8" s="153">
        <f t="shared" si="7"/>
        <v>20.229999999999997</v>
      </c>
      <c r="BS8" s="155">
        <v>19.329999999999998</v>
      </c>
      <c r="BT8" s="155">
        <f>BS8+BR8</f>
        <v>39.559999999999995</v>
      </c>
      <c r="BU8" s="156">
        <v>14</v>
      </c>
      <c r="BV8" s="162">
        <f t="shared" si="7"/>
        <v>15.499999999999998</v>
      </c>
      <c r="BW8" s="155">
        <v>24.71</v>
      </c>
      <c r="BX8" s="155">
        <f>BW8+BV8</f>
        <v>40.21</v>
      </c>
      <c r="BY8" s="165">
        <v>27.6</v>
      </c>
      <c r="BZ8" s="153">
        <v>4</v>
      </c>
      <c r="CA8" s="167" t="s">
        <v>141</v>
      </c>
      <c r="CB8" s="155"/>
      <c r="CC8" s="156">
        <v>4</v>
      </c>
      <c r="CD8" s="166" t="s">
        <v>30</v>
      </c>
      <c r="CE8" s="169">
        <v>28.18</v>
      </c>
      <c r="CF8" s="167"/>
      <c r="CG8" s="170" t="s">
        <v>114</v>
      </c>
      <c r="CH8" s="171">
        <f>SUM(CH9:CH12)</f>
        <v>28.15</v>
      </c>
      <c r="CI8" s="172">
        <v>18.47</v>
      </c>
      <c r="CJ8" s="172">
        <f>CI8+CH8</f>
        <v>46.62</v>
      </c>
      <c r="CK8" s="161">
        <f t="shared" ref="CK8" si="8">+CK9+CK10+CK11+CK12</f>
        <v>33.65</v>
      </c>
      <c r="CL8" s="173">
        <v>11</v>
      </c>
      <c r="CM8" s="174">
        <v>23.75</v>
      </c>
      <c r="CN8" s="174">
        <f>CM8+CL8</f>
        <v>34.75</v>
      </c>
      <c r="CO8" s="165">
        <v>29.6</v>
      </c>
      <c r="CP8" s="153">
        <f t="shared" si="7"/>
        <v>6.35</v>
      </c>
      <c r="CQ8" s="155">
        <v>29.900000000000002</v>
      </c>
      <c r="CR8" s="155">
        <f>CQ8+CP8</f>
        <v>36.25</v>
      </c>
      <c r="CS8" s="156">
        <v>29.8</v>
      </c>
      <c r="CT8" s="166" t="s">
        <v>31</v>
      </c>
      <c r="CU8" s="167" t="s">
        <v>144</v>
      </c>
      <c r="CV8" s="167"/>
      <c r="CW8" s="168" t="s">
        <v>110</v>
      </c>
      <c r="CX8" s="153">
        <f>SUM(CX9:CX12)</f>
        <v>12.950000000000001</v>
      </c>
      <c r="CY8" s="155">
        <v>13.5</v>
      </c>
      <c r="CZ8" s="155">
        <f>CY8+CX8</f>
        <v>26.450000000000003</v>
      </c>
      <c r="DA8" s="156">
        <f>SUM(DA9:DA12)</f>
        <v>23.200000000000003</v>
      </c>
      <c r="DB8" s="166" t="s">
        <v>32</v>
      </c>
      <c r="DC8" s="167" t="s">
        <v>146</v>
      </c>
      <c r="DD8" s="167"/>
      <c r="DE8" s="168" t="s">
        <v>198</v>
      </c>
      <c r="DF8" s="175">
        <f>SUM(DF9:DF12)</f>
        <v>7</v>
      </c>
      <c r="DG8" s="176">
        <v>31.42</v>
      </c>
      <c r="DH8" s="176">
        <f>DG8+DF8</f>
        <v>38.42</v>
      </c>
      <c r="DI8" s="156">
        <f>SUM(DI9:DI12)</f>
        <v>28.970000000000002</v>
      </c>
    </row>
    <row r="9" spans="1:113" ht="61.15" customHeight="1">
      <c r="A9" s="67" t="s">
        <v>33</v>
      </c>
      <c r="B9" s="76">
        <v>7.9</v>
      </c>
      <c r="C9" s="10">
        <v>9.9</v>
      </c>
      <c r="D9" s="10">
        <f>C9+B9</f>
        <v>17.8</v>
      </c>
      <c r="E9" s="77">
        <v>17.8</v>
      </c>
      <c r="F9" s="51">
        <v>6.5</v>
      </c>
      <c r="G9" s="10">
        <v>21.5</v>
      </c>
      <c r="H9" s="10">
        <f>G9+F9</f>
        <v>28</v>
      </c>
      <c r="I9" s="49">
        <v>28</v>
      </c>
      <c r="J9" s="76" t="s">
        <v>34</v>
      </c>
      <c r="K9" s="49">
        <v>20</v>
      </c>
      <c r="L9" s="49">
        <f>K9</f>
        <v>20</v>
      </c>
      <c r="M9" s="83">
        <v>20</v>
      </c>
      <c r="N9" s="51">
        <v>7.51</v>
      </c>
      <c r="O9" s="10">
        <v>16.88</v>
      </c>
      <c r="P9" s="10">
        <f>O9+N9</f>
        <v>24.39</v>
      </c>
      <c r="Q9" s="88">
        <v>20</v>
      </c>
      <c r="R9" s="76">
        <v>3</v>
      </c>
      <c r="S9" s="10">
        <v>23.3</v>
      </c>
      <c r="T9" s="10">
        <f>S9+R9</f>
        <v>26.3</v>
      </c>
      <c r="U9" s="83">
        <v>26.3</v>
      </c>
      <c r="V9" s="51">
        <v>10</v>
      </c>
      <c r="W9" s="10">
        <v>27</v>
      </c>
      <c r="X9" s="10">
        <f>W9+V9</f>
        <v>37</v>
      </c>
      <c r="Y9" s="11" t="s">
        <v>34</v>
      </c>
      <c r="Z9" s="76">
        <v>9.76</v>
      </c>
      <c r="AA9" s="51">
        <v>9.76</v>
      </c>
      <c r="AB9" s="51">
        <f>AA9+Z9</f>
        <v>19.52</v>
      </c>
      <c r="AC9" s="93">
        <f>9.76*2</f>
        <v>19.52</v>
      </c>
      <c r="AD9" s="76">
        <v>10.5</v>
      </c>
      <c r="AE9" s="10">
        <v>15.8</v>
      </c>
      <c r="AF9" s="10">
        <f>AE9+AD9</f>
        <v>26.3</v>
      </c>
      <c r="AG9" s="83">
        <v>10.5</v>
      </c>
      <c r="AH9" s="51">
        <v>15.5</v>
      </c>
      <c r="AI9" s="10">
        <v>8.85</v>
      </c>
      <c r="AJ9" s="10">
        <f>AI9+AH9</f>
        <v>24.35</v>
      </c>
      <c r="AK9" s="88">
        <f>15.5+8.85</f>
        <v>24.35</v>
      </c>
      <c r="AL9" s="102">
        <v>4</v>
      </c>
      <c r="AM9" s="12">
        <v>14</v>
      </c>
      <c r="AN9" s="12">
        <f>AM9+AL9</f>
        <v>18</v>
      </c>
      <c r="AO9" s="103">
        <f>14+4</f>
        <v>18</v>
      </c>
      <c r="AP9" s="98">
        <v>10.25</v>
      </c>
      <c r="AQ9" s="49">
        <v>12.55</v>
      </c>
      <c r="AR9" s="49">
        <f>AQ9+AP9</f>
        <v>22.8</v>
      </c>
      <c r="AS9" s="88">
        <v>18.5</v>
      </c>
      <c r="AT9" s="102">
        <v>7.5</v>
      </c>
      <c r="AU9" s="49">
        <v>8.86</v>
      </c>
      <c r="AV9" s="49">
        <f>AU9+AT9</f>
        <v>16.36</v>
      </c>
      <c r="AW9" s="83"/>
      <c r="AX9" s="98">
        <v>15</v>
      </c>
      <c r="AY9" s="49" t="s">
        <v>34</v>
      </c>
      <c r="AZ9" s="49">
        <f>AX9</f>
        <v>15</v>
      </c>
      <c r="BA9" s="88">
        <v>20</v>
      </c>
      <c r="BB9" s="102"/>
      <c r="BC9" s="49">
        <v>7.8</v>
      </c>
      <c r="BD9" s="49">
        <v>7.8</v>
      </c>
      <c r="BE9" s="103">
        <v>14.6</v>
      </c>
      <c r="BF9" s="111" t="s">
        <v>28</v>
      </c>
      <c r="BG9" s="60" t="s">
        <v>132</v>
      </c>
      <c r="BH9" s="59">
        <f>2272+1136</f>
        <v>3408</v>
      </c>
      <c r="BI9" s="9" t="s">
        <v>99</v>
      </c>
      <c r="BJ9" s="102">
        <v>5.7</v>
      </c>
      <c r="BK9" s="61" t="s">
        <v>135</v>
      </c>
      <c r="BL9" s="49"/>
      <c r="BM9" s="83">
        <v>5.7</v>
      </c>
      <c r="BN9" s="31" t="s">
        <v>122</v>
      </c>
      <c r="BO9" s="31" t="s">
        <v>138</v>
      </c>
      <c r="BP9" s="31"/>
      <c r="BQ9" s="11"/>
      <c r="BR9" s="120">
        <v>9.35</v>
      </c>
      <c r="BS9" s="61">
        <v>9.35</v>
      </c>
      <c r="BT9" s="61">
        <f>BS9+BR9</f>
        <v>18.7</v>
      </c>
      <c r="BU9" s="83"/>
      <c r="BV9" s="118">
        <v>6.67</v>
      </c>
      <c r="BW9" s="61">
        <v>11.33</v>
      </c>
      <c r="BX9" s="61">
        <f>BW9+BV9</f>
        <v>18</v>
      </c>
      <c r="BY9" s="11">
        <v>20</v>
      </c>
      <c r="BZ9" s="346">
        <v>4</v>
      </c>
      <c r="CA9" s="353" t="s">
        <v>141</v>
      </c>
      <c r="CB9" s="63"/>
      <c r="CC9" s="83"/>
      <c r="CD9" s="125" t="s">
        <v>35</v>
      </c>
      <c r="CE9" s="9">
        <v>23.51</v>
      </c>
      <c r="CF9" s="9"/>
      <c r="CG9" s="9" t="s">
        <v>105</v>
      </c>
      <c r="CH9" s="120">
        <v>17.899999999999999</v>
      </c>
      <c r="CI9" s="61" t="s">
        <v>34</v>
      </c>
      <c r="CJ9" s="61">
        <f>CH9</f>
        <v>17.899999999999999</v>
      </c>
      <c r="CK9" s="103">
        <v>17.899999999999999</v>
      </c>
      <c r="CL9" s="118"/>
      <c r="CM9" s="61">
        <v>23.75</v>
      </c>
      <c r="CN9" s="61">
        <f>CM9</f>
        <v>23.75</v>
      </c>
      <c r="CO9" s="11"/>
      <c r="CP9" s="120">
        <v>4.7</v>
      </c>
      <c r="CQ9" s="61">
        <v>23.6</v>
      </c>
      <c r="CR9" s="61">
        <f>CQ9+CP9</f>
        <v>28.3</v>
      </c>
      <c r="CS9" s="83"/>
      <c r="CT9" s="32"/>
      <c r="CU9" s="32"/>
      <c r="CV9" s="32"/>
      <c r="CW9" s="11"/>
      <c r="CX9" s="102">
        <v>8</v>
      </c>
      <c r="CY9" s="49">
        <v>8</v>
      </c>
      <c r="CZ9" s="49">
        <f>CY9+CX9</f>
        <v>16</v>
      </c>
      <c r="DA9" s="83">
        <v>16</v>
      </c>
      <c r="DB9" s="98"/>
      <c r="DC9" s="49"/>
      <c r="DD9" s="49"/>
      <c r="DE9" s="11"/>
      <c r="DF9" s="102">
        <v>7</v>
      </c>
      <c r="DG9" s="19">
        <v>10.210000000000001</v>
      </c>
      <c r="DH9" s="19">
        <f>DG9+DF9</f>
        <v>17.21</v>
      </c>
      <c r="DI9" s="33">
        <v>10.210000000000001</v>
      </c>
    </row>
    <row r="10" spans="1:113">
      <c r="A10" s="67" t="s">
        <v>36</v>
      </c>
      <c r="B10" s="76">
        <v>3.2</v>
      </c>
      <c r="C10" s="10">
        <v>4.8</v>
      </c>
      <c r="D10" s="10">
        <f t="shared" ref="D10:D12" si="9">C10+B10</f>
        <v>8</v>
      </c>
      <c r="E10" s="77">
        <v>8</v>
      </c>
      <c r="F10" s="51">
        <v>4.5</v>
      </c>
      <c r="G10" s="10">
        <v>9</v>
      </c>
      <c r="H10" s="10">
        <f t="shared" ref="H10" si="10">G10+F10</f>
        <v>13.5</v>
      </c>
      <c r="I10" s="49">
        <v>13.5</v>
      </c>
      <c r="J10" s="76" t="s">
        <v>34</v>
      </c>
      <c r="K10" s="49">
        <v>13</v>
      </c>
      <c r="L10" s="49">
        <f>K10</f>
        <v>13</v>
      </c>
      <c r="M10" s="83">
        <v>13</v>
      </c>
      <c r="N10" s="51"/>
      <c r="O10" s="10" t="s">
        <v>34</v>
      </c>
      <c r="P10" s="10"/>
      <c r="Q10" s="88">
        <f>7.52+2.37+1.17</f>
        <v>11.06</v>
      </c>
      <c r="R10" s="76">
        <v>9</v>
      </c>
      <c r="S10" s="10">
        <v>3</v>
      </c>
      <c r="T10" s="10">
        <f t="shared" ref="T10" si="11">S10+R10</f>
        <v>12</v>
      </c>
      <c r="U10" s="83">
        <v>9</v>
      </c>
      <c r="V10" s="51">
        <v>7</v>
      </c>
      <c r="W10" s="10"/>
      <c r="X10" s="10">
        <f t="shared" ref="X10:X11" si="12">W10+V10</f>
        <v>7</v>
      </c>
      <c r="Y10" s="11" t="s">
        <v>34</v>
      </c>
      <c r="Z10" s="76">
        <v>9</v>
      </c>
      <c r="AA10" s="51" t="s">
        <v>34</v>
      </c>
      <c r="AB10" s="51">
        <f>Z10</f>
        <v>9</v>
      </c>
      <c r="AC10" s="93"/>
      <c r="AD10" s="76">
        <v>5.5</v>
      </c>
      <c r="AE10" s="10">
        <v>5.2</v>
      </c>
      <c r="AF10" s="10">
        <f t="shared" ref="AF10:AF12" si="13">AE10+AD10</f>
        <v>10.7</v>
      </c>
      <c r="AG10" s="83">
        <v>5.5</v>
      </c>
      <c r="AH10" s="51">
        <v>6.36</v>
      </c>
      <c r="AI10" s="10">
        <v>7.09</v>
      </c>
      <c r="AJ10" s="10">
        <f t="shared" ref="AJ10:AJ12" si="14">AI10+AH10</f>
        <v>13.45</v>
      </c>
      <c r="AK10" s="88">
        <f>6.36+6.56</f>
        <v>12.92</v>
      </c>
      <c r="AL10" s="102">
        <v>4</v>
      </c>
      <c r="AM10" s="12">
        <v>10</v>
      </c>
      <c r="AN10" s="12">
        <f t="shared" ref="AN10:AN12" si="15">AM10+AL10</f>
        <v>14</v>
      </c>
      <c r="AO10" s="103">
        <f>10+4</f>
        <v>14</v>
      </c>
      <c r="AP10" s="98">
        <v>3.82</v>
      </c>
      <c r="AQ10" s="49">
        <v>3.83</v>
      </c>
      <c r="AR10" s="49">
        <f t="shared" ref="AR10:AR12" si="16">AQ10+AP10</f>
        <v>7.65</v>
      </c>
      <c r="AS10" s="88">
        <v>7.65</v>
      </c>
      <c r="AT10" s="102">
        <v>4.7</v>
      </c>
      <c r="AU10" s="49">
        <v>6.15</v>
      </c>
      <c r="AV10" s="49">
        <f t="shared" ref="AV10:AV11" si="17">AU10+AT10</f>
        <v>10.850000000000001</v>
      </c>
      <c r="AW10" s="83"/>
      <c r="AX10" s="98" t="s">
        <v>34</v>
      </c>
      <c r="AY10" s="49">
        <v>15</v>
      </c>
      <c r="AZ10" s="49">
        <f>AY10</f>
        <v>15</v>
      </c>
      <c r="BA10" s="88">
        <v>15</v>
      </c>
      <c r="BB10" s="102"/>
      <c r="BC10" s="12"/>
      <c r="BD10" s="12"/>
      <c r="BE10" s="83"/>
      <c r="BF10" s="98"/>
      <c r="BG10" s="49" t="s">
        <v>34</v>
      </c>
      <c r="BH10" s="49"/>
      <c r="BI10" s="11"/>
      <c r="BJ10" s="102">
        <v>1.32</v>
      </c>
      <c r="BK10" s="49">
        <v>2.08</v>
      </c>
      <c r="BL10" s="49"/>
      <c r="BM10" s="83">
        <f>1.32+0.17</f>
        <v>1.49</v>
      </c>
      <c r="BN10" s="98">
        <v>0.75</v>
      </c>
      <c r="BO10" s="12">
        <v>12.8</v>
      </c>
      <c r="BP10" s="49">
        <f>BO10+BN10</f>
        <v>13.55</v>
      </c>
      <c r="BQ10" s="11"/>
      <c r="BR10" s="102">
        <v>8.1999999999999993</v>
      </c>
      <c r="BS10" s="49">
        <v>7.3</v>
      </c>
      <c r="BT10" s="61">
        <f t="shared" ref="BT10:BT12" si="18">BS10+BR10</f>
        <v>15.5</v>
      </c>
      <c r="BU10" s="83" t="s">
        <v>102</v>
      </c>
      <c r="BV10" s="98">
        <v>2.5499999999999998</v>
      </c>
      <c r="BW10" s="49">
        <v>5.9</v>
      </c>
      <c r="BX10" s="61">
        <f t="shared" ref="BX10:BX12" si="19">BW10+BV10</f>
        <v>8.4499999999999993</v>
      </c>
      <c r="BY10" s="11">
        <v>7.6</v>
      </c>
      <c r="BZ10" s="347"/>
      <c r="CA10" s="354"/>
      <c r="CB10" s="56"/>
      <c r="CC10" s="83"/>
      <c r="CD10" s="98" t="s">
        <v>34</v>
      </c>
      <c r="CE10" s="49" t="s">
        <v>34</v>
      </c>
      <c r="CF10" s="49"/>
      <c r="CG10" s="11" t="s">
        <v>34</v>
      </c>
      <c r="CH10" s="102" t="s">
        <v>34</v>
      </c>
      <c r="CI10" s="49">
        <v>6.75</v>
      </c>
      <c r="CJ10" s="49">
        <f>CI10</f>
        <v>6.75</v>
      </c>
      <c r="CK10" s="103">
        <f>5.5+9.65</f>
        <v>15.15</v>
      </c>
      <c r="CL10" s="98"/>
      <c r="CM10" s="49"/>
      <c r="CN10" s="49"/>
      <c r="CO10" s="11"/>
      <c r="CP10" s="120"/>
      <c r="CQ10" s="61"/>
      <c r="CR10" s="61"/>
      <c r="CS10" s="83"/>
      <c r="CT10" s="98"/>
      <c r="CU10" s="49"/>
      <c r="CV10" s="49"/>
      <c r="CW10" s="11"/>
      <c r="CX10" s="102">
        <v>3.05</v>
      </c>
      <c r="CY10" s="49">
        <v>2.8</v>
      </c>
      <c r="CZ10" s="49">
        <f t="shared" ref="CZ10" si="20">CY10+CX10</f>
        <v>5.85</v>
      </c>
      <c r="DA10" s="83">
        <v>6.1</v>
      </c>
      <c r="DB10" s="98"/>
      <c r="DC10" s="49"/>
      <c r="DD10" s="49"/>
      <c r="DE10" s="11"/>
      <c r="DF10" s="102"/>
      <c r="DG10" s="19">
        <v>4.3499999999999996</v>
      </c>
      <c r="DH10" s="19">
        <f t="shared" ref="DH10:DH12" si="21">DG10+DF10</f>
        <v>4.3499999999999996</v>
      </c>
      <c r="DI10" s="33">
        <v>4.4400000000000004</v>
      </c>
    </row>
    <row r="11" spans="1:113" ht="45">
      <c r="A11" s="67" t="s">
        <v>37</v>
      </c>
      <c r="B11" s="76">
        <v>0.4</v>
      </c>
      <c r="C11" s="10">
        <v>0.6</v>
      </c>
      <c r="D11" s="10">
        <f t="shared" si="9"/>
        <v>1</v>
      </c>
      <c r="E11" s="77"/>
      <c r="F11" s="51" t="s">
        <v>34</v>
      </c>
      <c r="G11" s="10">
        <v>1.2</v>
      </c>
      <c r="H11" s="10">
        <f>G11</f>
        <v>1.2</v>
      </c>
      <c r="I11" s="49">
        <v>1.2</v>
      </c>
      <c r="J11" s="76">
        <v>1.6</v>
      </c>
      <c r="K11" s="19">
        <v>0.8</v>
      </c>
      <c r="L11" s="19">
        <f>K11+J11</f>
        <v>2.4000000000000004</v>
      </c>
      <c r="M11" s="84"/>
      <c r="N11" s="51">
        <v>0.65</v>
      </c>
      <c r="O11" s="10">
        <v>1.45</v>
      </c>
      <c r="P11" s="10">
        <f>O11+N11</f>
        <v>2.1</v>
      </c>
      <c r="Q11" s="88"/>
      <c r="R11" s="76" t="s">
        <v>34</v>
      </c>
      <c r="S11" s="10">
        <v>1.1000000000000001</v>
      </c>
      <c r="T11" s="10">
        <f>S11</f>
        <v>1.1000000000000001</v>
      </c>
      <c r="U11" s="83"/>
      <c r="V11" s="51">
        <v>1.5</v>
      </c>
      <c r="W11" s="10"/>
      <c r="X11" s="10">
        <f t="shared" si="12"/>
        <v>1.5</v>
      </c>
      <c r="Y11" s="11" t="s">
        <v>34</v>
      </c>
      <c r="Z11" s="76" t="s">
        <v>34</v>
      </c>
      <c r="AA11" s="51" t="s">
        <v>34</v>
      </c>
      <c r="AB11" s="51"/>
      <c r="AC11" s="93"/>
      <c r="AD11" s="76">
        <v>0.5</v>
      </c>
      <c r="AE11" s="10">
        <v>0.5</v>
      </c>
      <c r="AF11" s="10">
        <f t="shared" si="13"/>
        <v>1</v>
      </c>
      <c r="AG11" s="83"/>
      <c r="AH11" s="51">
        <v>0.14000000000000001</v>
      </c>
      <c r="AI11" s="10">
        <v>0.06</v>
      </c>
      <c r="AJ11" s="10">
        <f t="shared" si="14"/>
        <v>0.2</v>
      </c>
      <c r="AK11" s="88">
        <f>0.14+0.06</f>
        <v>0.2</v>
      </c>
      <c r="AL11" s="102">
        <v>1</v>
      </c>
      <c r="AM11" s="12">
        <v>1</v>
      </c>
      <c r="AN11" s="12">
        <f t="shared" si="15"/>
        <v>2</v>
      </c>
      <c r="AO11" s="104" t="s">
        <v>90</v>
      </c>
      <c r="AP11" s="98">
        <v>3</v>
      </c>
      <c r="AQ11" s="49">
        <v>3</v>
      </c>
      <c r="AR11" s="49">
        <f t="shared" si="16"/>
        <v>6</v>
      </c>
      <c r="AS11" s="88"/>
      <c r="AT11" s="102">
        <v>0.87</v>
      </c>
      <c r="AU11" s="19">
        <v>3.16</v>
      </c>
      <c r="AV11" s="49">
        <f t="shared" si="17"/>
        <v>4.03</v>
      </c>
      <c r="AW11" s="84"/>
      <c r="AX11" s="98" t="s">
        <v>34</v>
      </c>
      <c r="AY11" s="49">
        <v>1.7</v>
      </c>
      <c r="AZ11" s="49">
        <f t="shared" ref="AZ11:AZ12" si="22">AY11</f>
        <v>1.7</v>
      </c>
      <c r="BA11" s="88">
        <v>1.7</v>
      </c>
      <c r="BB11" s="102"/>
      <c r="BC11" s="12"/>
      <c r="BD11" s="12"/>
      <c r="BE11" s="83"/>
      <c r="BF11" s="98"/>
      <c r="BG11" s="19" t="s">
        <v>34</v>
      </c>
      <c r="BH11" s="19"/>
      <c r="BI11" s="14" t="s">
        <v>100</v>
      </c>
      <c r="BJ11" s="102">
        <v>0.65</v>
      </c>
      <c r="BK11" s="61" t="s">
        <v>136</v>
      </c>
      <c r="BL11" s="49"/>
      <c r="BM11" s="83">
        <v>0.65</v>
      </c>
      <c r="BN11" s="98">
        <v>2.4</v>
      </c>
      <c r="BO11" s="12">
        <v>4</v>
      </c>
      <c r="BP11" s="49">
        <f t="shared" ref="BP11" si="23">BO11+BN11</f>
        <v>6.4</v>
      </c>
      <c r="BQ11" s="14"/>
      <c r="BR11" s="102">
        <v>1.5</v>
      </c>
      <c r="BS11" s="19">
        <v>1.5</v>
      </c>
      <c r="BT11" s="61">
        <f t="shared" si="18"/>
        <v>3</v>
      </c>
      <c r="BU11" s="84"/>
      <c r="BV11" s="98">
        <v>2.93</v>
      </c>
      <c r="BW11" s="19">
        <v>6.03</v>
      </c>
      <c r="BX11" s="61">
        <f t="shared" si="19"/>
        <v>8.9600000000000009</v>
      </c>
      <c r="BY11" s="14" t="s">
        <v>34</v>
      </c>
      <c r="BZ11" s="347"/>
      <c r="CA11" s="354"/>
      <c r="CB11" s="56"/>
      <c r="CC11" s="84"/>
      <c r="CD11" s="98">
        <v>0.3</v>
      </c>
      <c r="CE11" s="19">
        <v>1.31</v>
      </c>
      <c r="CF11" s="19"/>
      <c r="CG11" s="14" t="s">
        <v>34</v>
      </c>
      <c r="CH11" s="102" t="s">
        <v>34</v>
      </c>
      <c r="CI11" s="49">
        <v>4.22</v>
      </c>
      <c r="CJ11" s="49">
        <f>CI11</f>
        <v>4.22</v>
      </c>
      <c r="CK11" s="103"/>
      <c r="CL11" s="98"/>
      <c r="CM11" s="49"/>
      <c r="CN11" s="49"/>
      <c r="CO11" s="11"/>
      <c r="CP11" s="102">
        <v>1.55</v>
      </c>
      <c r="CQ11" s="19">
        <v>5.5</v>
      </c>
      <c r="CR11" s="19">
        <f>CQ11+CP11</f>
        <v>7.05</v>
      </c>
      <c r="CS11" s="84"/>
      <c r="CT11" s="98"/>
      <c r="CU11" s="49"/>
      <c r="CV11" s="49"/>
      <c r="CW11" s="11"/>
      <c r="CX11" s="102"/>
      <c r="CY11" s="49" t="s">
        <v>34</v>
      </c>
      <c r="CZ11" s="49"/>
      <c r="DA11" s="83"/>
      <c r="DB11" s="98"/>
      <c r="DC11" s="49"/>
      <c r="DD11" s="49"/>
      <c r="DE11" s="11"/>
      <c r="DF11" s="102"/>
      <c r="DG11" s="19">
        <v>2.64</v>
      </c>
      <c r="DH11" s="19">
        <f t="shared" si="21"/>
        <v>2.64</v>
      </c>
      <c r="DI11" s="33">
        <v>0.1</v>
      </c>
    </row>
    <row r="12" spans="1:113" ht="56.25">
      <c r="A12" s="67" t="s">
        <v>38</v>
      </c>
      <c r="B12" s="76">
        <v>1.4</v>
      </c>
      <c r="C12" s="10">
        <v>2.8</v>
      </c>
      <c r="D12" s="10">
        <f t="shared" si="9"/>
        <v>4.1999999999999993</v>
      </c>
      <c r="E12" s="77" t="s">
        <v>75</v>
      </c>
      <c r="F12" s="51" t="s">
        <v>34</v>
      </c>
      <c r="G12" s="10" t="s">
        <v>125</v>
      </c>
      <c r="H12" s="10">
        <f>(5.04-0.28)/2</f>
        <v>2.38</v>
      </c>
      <c r="I12" s="49" t="s">
        <v>79</v>
      </c>
      <c r="J12" s="76"/>
      <c r="K12" s="49" t="s">
        <v>34</v>
      </c>
      <c r="L12" s="49"/>
      <c r="M12" s="83"/>
      <c r="N12" s="51">
        <v>2.34</v>
      </c>
      <c r="O12" s="10">
        <v>5.26</v>
      </c>
      <c r="P12" s="10">
        <f>O12+N12</f>
        <v>7.6</v>
      </c>
      <c r="Q12" s="89" t="s">
        <v>80</v>
      </c>
      <c r="R12" s="76" t="s">
        <v>34</v>
      </c>
      <c r="S12" s="10">
        <v>6.8</v>
      </c>
      <c r="T12" s="10">
        <f>S12</f>
        <v>6.8</v>
      </c>
      <c r="U12" s="83">
        <v>2.2000000000000002</v>
      </c>
      <c r="V12" s="51">
        <v>0</v>
      </c>
      <c r="W12" s="10" t="s">
        <v>34</v>
      </c>
      <c r="X12" s="10"/>
      <c r="Y12" s="11" t="s">
        <v>34</v>
      </c>
      <c r="Z12" s="76">
        <v>3.95</v>
      </c>
      <c r="AA12" s="51">
        <v>6.5</v>
      </c>
      <c r="AB12" s="51">
        <f>AA12+Z12</f>
        <v>10.45</v>
      </c>
      <c r="AC12" s="93">
        <f>6.5+4.26</f>
        <v>10.76</v>
      </c>
      <c r="AD12" s="76">
        <v>0</v>
      </c>
      <c r="AE12" s="10">
        <v>1.35</v>
      </c>
      <c r="AF12" s="10">
        <f t="shared" si="13"/>
        <v>1.35</v>
      </c>
      <c r="AG12" s="83"/>
      <c r="AH12" s="51">
        <v>0.1</v>
      </c>
      <c r="AI12" s="10">
        <v>0.1</v>
      </c>
      <c r="AJ12" s="10">
        <f t="shared" si="14"/>
        <v>0.2</v>
      </c>
      <c r="AK12" s="88">
        <f>0.53+0.2</f>
        <v>0.73</v>
      </c>
      <c r="AL12" s="102">
        <v>4.4000000000000004</v>
      </c>
      <c r="AM12" s="12">
        <v>10.199999999999999</v>
      </c>
      <c r="AN12" s="12">
        <f t="shared" si="15"/>
        <v>14.6</v>
      </c>
      <c r="AO12" s="103">
        <f>6+4.4+4.75</f>
        <v>15.15</v>
      </c>
      <c r="AP12" s="98"/>
      <c r="AQ12" s="49">
        <v>2.35</v>
      </c>
      <c r="AR12" s="49">
        <f t="shared" si="16"/>
        <v>2.35</v>
      </c>
      <c r="AS12" s="89" t="s">
        <v>91</v>
      </c>
      <c r="AT12" s="102" t="s">
        <v>34</v>
      </c>
      <c r="AU12" s="49">
        <v>16.53</v>
      </c>
      <c r="AV12" s="49">
        <f>AU12</f>
        <v>16.53</v>
      </c>
      <c r="AW12" s="83"/>
      <c r="AX12" s="98" t="s">
        <v>34</v>
      </c>
      <c r="AY12" s="49">
        <v>0.5</v>
      </c>
      <c r="AZ12" s="49">
        <f t="shared" si="22"/>
        <v>0.5</v>
      </c>
      <c r="BA12" s="88">
        <v>0.5</v>
      </c>
      <c r="BB12" s="102"/>
      <c r="BC12" s="49">
        <v>1.7</v>
      </c>
      <c r="BD12" s="49">
        <v>1.7</v>
      </c>
      <c r="BE12" s="104" t="s">
        <v>96</v>
      </c>
      <c r="BF12" s="98"/>
      <c r="BG12" s="49" t="s">
        <v>133</v>
      </c>
      <c r="BH12" s="49">
        <f>(6000+8000)/2</f>
        <v>7000</v>
      </c>
      <c r="BI12" s="11"/>
      <c r="BJ12" s="102">
        <v>0.78</v>
      </c>
      <c r="BK12" s="49"/>
      <c r="BL12" s="49"/>
      <c r="BM12" s="83"/>
      <c r="BN12" s="98" t="s">
        <v>34</v>
      </c>
      <c r="BO12" s="12">
        <f>7.69+0.3</f>
        <v>7.99</v>
      </c>
      <c r="BP12" s="49">
        <f>BO12</f>
        <v>7.99</v>
      </c>
      <c r="BQ12" s="11"/>
      <c r="BR12" s="102">
        <v>1.18</v>
      </c>
      <c r="BS12" s="49">
        <v>1.18</v>
      </c>
      <c r="BT12" s="61">
        <f t="shared" si="18"/>
        <v>2.36</v>
      </c>
      <c r="BU12" s="83"/>
      <c r="BV12" s="98">
        <v>3.35</v>
      </c>
      <c r="BW12" s="49">
        <v>1.45</v>
      </c>
      <c r="BX12" s="61">
        <f t="shared" si="19"/>
        <v>4.8</v>
      </c>
      <c r="BY12" s="11" t="s">
        <v>34</v>
      </c>
      <c r="BZ12" s="348"/>
      <c r="CA12" s="355"/>
      <c r="CB12" s="64"/>
      <c r="CC12" s="83"/>
      <c r="CD12" s="98" t="s">
        <v>34</v>
      </c>
      <c r="CE12" s="49">
        <v>3.36</v>
      </c>
      <c r="CF12" s="49"/>
      <c r="CG12" s="11" t="s">
        <v>34</v>
      </c>
      <c r="CH12" s="102">
        <v>10.25</v>
      </c>
      <c r="CI12" s="49">
        <v>7.5</v>
      </c>
      <c r="CJ12" s="49">
        <f>CI12+CH12</f>
        <v>17.75</v>
      </c>
      <c r="CK12" s="103">
        <v>0.6</v>
      </c>
      <c r="CL12" s="98"/>
      <c r="CM12" s="49"/>
      <c r="CN12" s="49"/>
      <c r="CO12" s="11"/>
      <c r="CP12" s="102">
        <v>0.1</v>
      </c>
      <c r="CQ12" s="49">
        <v>0.8</v>
      </c>
      <c r="CR12" s="19">
        <f>CQ12+CP12</f>
        <v>0.9</v>
      </c>
      <c r="CS12" s="83"/>
      <c r="CT12" s="98"/>
      <c r="CU12" s="49" t="s">
        <v>34</v>
      </c>
      <c r="CV12" s="49"/>
      <c r="CW12" s="11"/>
      <c r="CX12" s="102">
        <f>0.5+1.4</f>
        <v>1.9</v>
      </c>
      <c r="CY12" s="61" t="s">
        <v>145</v>
      </c>
      <c r="CZ12" s="49">
        <f>1.1+(-0.51+3.04)/2+CX12</f>
        <v>4.2650000000000006</v>
      </c>
      <c r="DA12" s="83">
        <v>1.1000000000000001</v>
      </c>
      <c r="DB12" s="98"/>
      <c r="DC12" s="49" t="s">
        <v>34</v>
      </c>
      <c r="DD12" s="49"/>
      <c r="DE12" s="11"/>
      <c r="DF12" s="102"/>
      <c r="DG12" s="19">
        <v>14.22</v>
      </c>
      <c r="DH12" s="19">
        <f t="shared" si="21"/>
        <v>14.22</v>
      </c>
      <c r="DI12" s="33">
        <f>0.3+2.6+11.32</f>
        <v>14.22</v>
      </c>
    </row>
    <row r="13" spans="1:113" ht="135.75" thickBot="1">
      <c r="A13" s="68" t="s">
        <v>78</v>
      </c>
      <c r="B13" s="76"/>
      <c r="C13" s="5"/>
      <c r="D13" s="10"/>
      <c r="E13" s="78" t="s">
        <v>76</v>
      </c>
      <c r="F13" s="52"/>
      <c r="H13" s="16"/>
      <c r="I13" s="19"/>
      <c r="J13" s="85"/>
      <c r="K13" s="19"/>
      <c r="L13" s="19"/>
      <c r="M13" s="86" t="s">
        <v>115</v>
      </c>
      <c r="N13" s="52"/>
      <c r="P13" s="16"/>
      <c r="Q13" s="90" t="s">
        <v>81</v>
      </c>
      <c r="R13" s="85"/>
      <c r="S13" s="5"/>
      <c r="T13" s="16"/>
      <c r="U13" s="92" t="s">
        <v>83</v>
      </c>
      <c r="V13" s="52"/>
      <c r="X13" s="16"/>
      <c r="Y13" s="9" t="s">
        <v>86</v>
      </c>
      <c r="Z13" s="85"/>
      <c r="AA13" s="21"/>
      <c r="AB13" s="52"/>
      <c r="AC13" s="94" t="s">
        <v>84</v>
      </c>
      <c r="AD13" s="85"/>
      <c r="AE13" s="5"/>
      <c r="AF13" s="16"/>
      <c r="AG13" s="92" t="s">
        <v>87</v>
      </c>
      <c r="AH13" s="52"/>
      <c r="AJ13" s="16"/>
      <c r="AK13" s="97">
        <v>831.74</v>
      </c>
      <c r="AL13" s="105"/>
      <c r="AM13" s="5"/>
      <c r="AN13" s="13"/>
      <c r="AO13" s="106" t="s">
        <v>197</v>
      </c>
      <c r="AP13" s="99"/>
      <c r="AQ13" s="13"/>
      <c r="AR13" s="15"/>
      <c r="AS13" s="18" t="s">
        <v>92</v>
      </c>
      <c r="AT13" s="105"/>
      <c r="AU13" s="5"/>
      <c r="AV13" s="19"/>
      <c r="AW13" s="92" t="s">
        <v>116</v>
      </c>
      <c r="AX13" s="99"/>
      <c r="AZ13" s="19"/>
      <c r="BA13" s="90" t="s">
        <v>94</v>
      </c>
      <c r="BB13" s="114"/>
      <c r="BC13" s="19"/>
      <c r="BD13" s="19"/>
      <c r="BE13" s="106" t="s">
        <v>97</v>
      </c>
      <c r="BF13" s="112"/>
      <c r="BH13" s="19"/>
      <c r="BI13" s="19"/>
      <c r="BJ13" s="105"/>
      <c r="BK13" s="19" t="s">
        <v>52</v>
      </c>
      <c r="BL13" s="19"/>
      <c r="BM13" s="84" t="s">
        <v>34</v>
      </c>
      <c r="BN13" s="99"/>
      <c r="BO13" s="13"/>
      <c r="BP13" s="19"/>
      <c r="BQ13" s="117"/>
      <c r="BR13" s="105"/>
      <c r="BS13" s="5"/>
      <c r="BT13" s="19"/>
      <c r="BU13" s="83"/>
      <c r="BV13" s="98"/>
      <c r="BW13" s="49"/>
      <c r="BX13" s="49"/>
      <c r="BY13" s="117"/>
      <c r="BZ13" s="127"/>
      <c r="CA13" s="20" t="s">
        <v>42</v>
      </c>
      <c r="CB13" s="56"/>
      <c r="CC13" s="110" t="s">
        <v>104</v>
      </c>
      <c r="CD13" s="112"/>
      <c r="CF13" s="19"/>
      <c r="CG13" s="117">
        <v>15548</v>
      </c>
      <c r="CH13" s="114"/>
      <c r="CI13" s="5"/>
      <c r="CJ13" s="19"/>
      <c r="CK13" s="106" t="s">
        <v>106</v>
      </c>
      <c r="CL13" s="112"/>
      <c r="CM13" s="49"/>
      <c r="CN13" s="19"/>
      <c r="CO13" s="9" t="s">
        <v>108</v>
      </c>
      <c r="CP13" s="102"/>
      <c r="CQ13" s="5"/>
      <c r="CR13" s="19"/>
      <c r="CS13" s="83" t="s">
        <v>117</v>
      </c>
      <c r="CT13" s="112"/>
      <c r="CV13" s="19"/>
      <c r="CW13" s="14" t="s">
        <v>111</v>
      </c>
      <c r="CX13" s="105"/>
      <c r="CY13" s="5"/>
      <c r="CZ13" s="19"/>
      <c r="DA13" s="110" t="s">
        <v>112</v>
      </c>
      <c r="DB13" s="15"/>
      <c r="DC13" s="12"/>
      <c r="DD13" s="49"/>
      <c r="DE13" s="9" t="s">
        <v>113</v>
      </c>
      <c r="DF13" s="105"/>
      <c r="DG13" s="5"/>
      <c r="DH13" s="19"/>
      <c r="DI13" s="33" t="s">
        <v>34</v>
      </c>
    </row>
    <row r="14" spans="1:113" ht="90.75" thickBot="1">
      <c r="A14" s="69" t="s">
        <v>39</v>
      </c>
      <c r="B14" s="76" t="s">
        <v>40</v>
      </c>
      <c r="C14" s="10" t="s">
        <v>124</v>
      </c>
      <c r="D14" s="34"/>
      <c r="E14" s="79" t="s">
        <v>77</v>
      </c>
      <c r="F14" s="72" t="s">
        <v>41</v>
      </c>
      <c r="G14" s="48" t="s">
        <v>41</v>
      </c>
      <c r="H14" s="47"/>
      <c r="I14" s="82">
        <v>1277328</v>
      </c>
      <c r="J14" s="87" t="s">
        <v>42</v>
      </c>
      <c r="K14" s="19" t="s">
        <v>42</v>
      </c>
      <c r="L14" s="50"/>
      <c r="M14" s="86" t="s">
        <v>118</v>
      </c>
      <c r="N14" s="72" t="s">
        <v>43</v>
      </c>
      <c r="O14" s="16" t="s">
        <v>43</v>
      </c>
      <c r="P14" s="23"/>
      <c r="Q14" s="90" t="s">
        <v>82</v>
      </c>
      <c r="R14" s="87" t="s">
        <v>44</v>
      </c>
      <c r="S14" s="16" t="s">
        <v>44</v>
      </c>
      <c r="T14" s="48"/>
      <c r="U14" s="92">
        <v>20760</v>
      </c>
      <c r="V14" s="91" t="s">
        <v>42</v>
      </c>
      <c r="W14" s="16" t="s">
        <v>42</v>
      </c>
      <c r="X14" s="48"/>
      <c r="Y14" s="9" t="s">
        <v>34</v>
      </c>
      <c r="Z14" s="95" t="s">
        <v>45</v>
      </c>
      <c r="AA14" s="21" t="s">
        <v>45</v>
      </c>
      <c r="AB14" s="53"/>
      <c r="AC14" s="94" t="s">
        <v>85</v>
      </c>
      <c r="AD14" s="96" t="s">
        <v>46</v>
      </c>
      <c r="AE14" s="48" t="s">
        <v>127</v>
      </c>
      <c r="AF14" s="54"/>
      <c r="AG14" s="92" t="s">
        <v>88</v>
      </c>
      <c r="AH14" s="91" t="s">
        <v>42</v>
      </c>
      <c r="AI14" s="16" t="s">
        <v>42</v>
      </c>
      <c r="AJ14" s="22"/>
      <c r="AK14" s="90">
        <v>5391</v>
      </c>
      <c r="AL14" s="107" t="s">
        <v>47</v>
      </c>
      <c r="AM14" s="13" t="s">
        <v>128</v>
      </c>
      <c r="AN14" s="1"/>
      <c r="AO14" s="106" t="s">
        <v>196</v>
      </c>
      <c r="AP14" s="100" t="s">
        <v>48</v>
      </c>
      <c r="AQ14" s="56" t="s">
        <v>129</v>
      </c>
      <c r="AR14" s="55"/>
      <c r="AS14" s="90" t="s">
        <v>93</v>
      </c>
      <c r="AT14" s="109" t="s">
        <v>49</v>
      </c>
      <c r="AU14" s="57" t="s">
        <v>49</v>
      </c>
      <c r="AV14" s="24"/>
      <c r="AW14" s="110" t="s">
        <v>119</v>
      </c>
      <c r="AX14" s="100" t="s">
        <v>50</v>
      </c>
      <c r="AY14" s="50" t="s">
        <v>130</v>
      </c>
      <c r="AZ14" s="55"/>
      <c r="BA14" s="90" t="s">
        <v>95</v>
      </c>
      <c r="BB14" s="115" t="s">
        <v>51</v>
      </c>
      <c r="BC14" s="50" t="s">
        <v>51</v>
      </c>
      <c r="BD14" s="17"/>
      <c r="BE14" s="106" t="s">
        <v>98</v>
      </c>
      <c r="BF14" s="91" t="s">
        <v>42</v>
      </c>
      <c r="BG14" s="19" t="s">
        <v>42</v>
      </c>
      <c r="BH14" s="26"/>
      <c r="BI14" s="26"/>
      <c r="BJ14" s="107" t="s">
        <v>52</v>
      </c>
      <c r="BK14" s="47"/>
      <c r="BL14" s="47"/>
      <c r="BM14" s="84" t="s">
        <v>34</v>
      </c>
      <c r="BN14" s="116" t="s">
        <v>53</v>
      </c>
      <c r="BO14" s="2" t="s">
        <v>53</v>
      </c>
      <c r="BP14" s="62"/>
      <c r="BQ14" s="117"/>
      <c r="BR14" s="107" t="s">
        <v>54</v>
      </c>
      <c r="BS14" s="50" t="s">
        <v>139</v>
      </c>
      <c r="BT14" s="47"/>
      <c r="BU14" s="121" t="s">
        <v>34</v>
      </c>
      <c r="BV14" s="118" t="s">
        <v>55</v>
      </c>
      <c r="BW14" s="61" t="s">
        <v>140</v>
      </c>
      <c r="BX14" s="61"/>
      <c r="BY14" s="25" t="s">
        <v>103</v>
      </c>
      <c r="BZ14" s="107" t="s">
        <v>56</v>
      </c>
      <c r="CA14" s="20" t="s">
        <v>42</v>
      </c>
      <c r="CB14" s="1"/>
      <c r="CC14" s="110"/>
      <c r="CD14" s="91" t="s">
        <v>42</v>
      </c>
      <c r="CE14" s="50" t="s">
        <v>142</v>
      </c>
      <c r="CF14" s="50"/>
      <c r="CG14" s="117" t="s">
        <v>120</v>
      </c>
      <c r="CH14" s="87" t="s">
        <v>57</v>
      </c>
      <c r="CI14" s="19" t="s">
        <v>143</v>
      </c>
      <c r="CJ14" s="22"/>
      <c r="CK14" s="129" t="s">
        <v>107</v>
      </c>
      <c r="CL14" s="91" t="s">
        <v>42</v>
      </c>
      <c r="CM14" s="50" t="s">
        <v>42</v>
      </c>
      <c r="CN14" s="65"/>
      <c r="CO14" s="125" t="s">
        <v>109</v>
      </c>
      <c r="CP14" s="87" t="s">
        <v>42</v>
      </c>
      <c r="CQ14" s="50" t="s">
        <v>42</v>
      </c>
      <c r="CR14" s="50"/>
      <c r="CS14" s="86" t="s">
        <v>121</v>
      </c>
      <c r="CT14" s="91" t="s">
        <v>42</v>
      </c>
      <c r="CU14" s="19" t="s">
        <v>42</v>
      </c>
      <c r="CV14" s="50"/>
      <c r="CW14" s="14">
        <v>41865</v>
      </c>
      <c r="CX14" s="107" t="s">
        <v>58</v>
      </c>
      <c r="CY14" s="50" t="s">
        <v>58</v>
      </c>
      <c r="CZ14" s="47"/>
      <c r="DA14" s="110">
        <v>115378</v>
      </c>
      <c r="DB14" s="132" t="s">
        <v>59</v>
      </c>
      <c r="DC14" s="12" t="s">
        <v>147</v>
      </c>
      <c r="DD14" s="35"/>
      <c r="DE14" s="9" t="s">
        <v>34</v>
      </c>
      <c r="DF14" s="133" t="s">
        <v>60</v>
      </c>
      <c r="DG14" s="50" t="s">
        <v>42</v>
      </c>
      <c r="DH14" s="19"/>
      <c r="DI14" s="33" t="s">
        <v>34</v>
      </c>
    </row>
    <row r="15" spans="1:113" ht="25.5">
      <c r="A15" s="70" t="s">
        <v>61</v>
      </c>
      <c r="B15" s="358">
        <v>893.7</v>
      </c>
      <c r="C15" s="359"/>
      <c r="D15" s="359"/>
      <c r="E15" s="360"/>
      <c r="F15" s="338">
        <v>26183.200000000001</v>
      </c>
      <c r="G15" s="337"/>
      <c r="H15" s="337"/>
      <c r="I15" s="339"/>
      <c r="J15" s="338">
        <v>1065</v>
      </c>
      <c r="K15" s="337"/>
      <c r="L15" s="337"/>
      <c r="M15" s="339"/>
      <c r="N15" s="338">
        <v>818</v>
      </c>
      <c r="O15" s="337"/>
      <c r="P15" s="337"/>
      <c r="Q15" s="339"/>
      <c r="R15" s="338">
        <v>735.1</v>
      </c>
      <c r="S15" s="337"/>
      <c r="T15" s="337"/>
      <c r="U15" s="339"/>
      <c r="V15" s="338">
        <v>248149.9</v>
      </c>
      <c r="W15" s="337"/>
      <c r="X15" s="337"/>
      <c r="Y15" s="339"/>
      <c r="Z15" s="338">
        <v>3850.2</v>
      </c>
      <c r="AA15" s="337"/>
      <c r="AB15" s="337"/>
      <c r="AC15" s="339"/>
      <c r="AD15" s="338">
        <v>2559.5</v>
      </c>
      <c r="AE15" s="337"/>
      <c r="AF15" s="337"/>
      <c r="AG15" s="339"/>
      <c r="AH15" s="338">
        <v>1849.3</v>
      </c>
      <c r="AI15" s="337"/>
      <c r="AJ15" s="337"/>
      <c r="AK15" s="339"/>
      <c r="AL15" s="338">
        <v>1025.4000000000001</v>
      </c>
      <c r="AM15" s="337"/>
      <c r="AN15" s="337"/>
      <c r="AO15" s="339"/>
      <c r="AP15" s="338">
        <v>3389.8</v>
      </c>
      <c r="AQ15" s="337"/>
      <c r="AR15" s="337"/>
      <c r="AS15" s="339"/>
      <c r="AT15" s="349">
        <v>3571.8</v>
      </c>
      <c r="AU15" s="350"/>
      <c r="AV15" s="350"/>
      <c r="AW15" s="351"/>
      <c r="AX15" s="338">
        <v>8076</v>
      </c>
      <c r="AY15" s="337"/>
      <c r="AZ15" s="337"/>
      <c r="BA15" s="339"/>
      <c r="BB15" s="338">
        <v>1878.25</v>
      </c>
      <c r="BC15" s="337"/>
      <c r="BD15" s="337"/>
      <c r="BE15" s="339"/>
      <c r="BF15" s="338">
        <v>35699.699999999997</v>
      </c>
      <c r="BG15" s="337"/>
      <c r="BH15" s="337"/>
      <c r="BI15" s="339"/>
      <c r="BJ15" s="338">
        <v>3407.8</v>
      </c>
      <c r="BK15" s="337"/>
      <c r="BL15" s="337"/>
      <c r="BM15" s="339"/>
      <c r="BN15" s="349">
        <v>3040.9</v>
      </c>
      <c r="BO15" s="350"/>
      <c r="BP15" s="350"/>
      <c r="BQ15" s="351"/>
      <c r="BR15" s="338">
        <v>3134.4</v>
      </c>
      <c r="BS15" s="337"/>
      <c r="BT15" s="337"/>
      <c r="BU15" s="339"/>
      <c r="BV15" s="338">
        <v>1470.2</v>
      </c>
      <c r="BW15" s="337"/>
      <c r="BX15" s="337"/>
      <c r="BY15" s="339"/>
      <c r="BZ15" s="349">
        <v>3947.2</v>
      </c>
      <c r="CA15" s="350"/>
      <c r="CB15" s="350"/>
      <c r="CC15" s="351"/>
      <c r="CD15" s="338">
        <v>2407.5</v>
      </c>
      <c r="CE15" s="337"/>
      <c r="CF15" s="337"/>
      <c r="CG15" s="339"/>
      <c r="CH15" s="338">
        <v>3865.3</v>
      </c>
      <c r="CI15" s="337"/>
      <c r="CJ15" s="337"/>
      <c r="CK15" s="339"/>
      <c r="CL15" s="338">
        <v>1364</v>
      </c>
      <c r="CM15" s="337"/>
      <c r="CN15" s="337"/>
      <c r="CO15" s="339"/>
      <c r="CP15" s="338">
        <v>2289.9</v>
      </c>
      <c r="CQ15" s="337"/>
      <c r="CR15" s="337"/>
      <c r="CS15" s="339"/>
      <c r="CT15" s="338">
        <v>2758.5</v>
      </c>
      <c r="CU15" s="337"/>
      <c r="CV15" s="337"/>
      <c r="CW15" s="339"/>
      <c r="CX15" s="338">
        <v>5031.8</v>
      </c>
      <c r="CY15" s="337"/>
      <c r="CZ15" s="337"/>
      <c r="DA15" s="339"/>
      <c r="DB15" s="337">
        <v>1378.8958333333301</v>
      </c>
      <c r="DC15" s="337"/>
      <c r="DD15" s="337"/>
      <c r="DE15" s="337"/>
      <c r="DF15" s="338">
        <v>32448.799999999999</v>
      </c>
      <c r="DG15" s="337"/>
      <c r="DH15" s="337"/>
      <c r="DI15" s="339"/>
    </row>
    <row r="16" spans="1:113" ht="68.25" thickBot="1">
      <c r="A16" s="71" t="s">
        <v>62</v>
      </c>
      <c r="B16" s="80">
        <f>1227/B15</f>
        <v>1.3729439409197717</v>
      </c>
      <c r="C16" s="43">
        <v>1.4</v>
      </c>
      <c r="D16" s="43"/>
      <c r="E16" s="81">
        <v>2.9092536645406732</v>
      </c>
      <c r="F16" s="73">
        <f>48*F15/(F15*12)</f>
        <v>4</v>
      </c>
      <c r="G16" s="36">
        <v>4</v>
      </c>
      <c r="H16" s="36"/>
      <c r="I16" s="43">
        <v>4.0653548840477862</v>
      </c>
      <c r="J16" s="80" t="s">
        <v>34</v>
      </c>
      <c r="K16" s="36" t="s">
        <v>34</v>
      </c>
      <c r="L16" s="36"/>
      <c r="M16" s="42">
        <v>5.492957746478873</v>
      </c>
      <c r="N16" s="73">
        <f>46400/(N15*12)</f>
        <v>4.7269763651181744</v>
      </c>
      <c r="O16" s="36">
        <v>4.7</v>
      </c>
      <c r="P16" s="36"/>
      <c r="Q16" s="43">
        <v>4.9511002444987779</v>
      </c>
      <c r="R16" s="80">
        <f>9454/(R15*12)</f>
        <v>1.0717362717090644</v>
      </c>
      <c r="S16" s="36">
        <v>1.1000000000000001</v>
      </c>
      <c r="T16" s="36"/>
      <c r="U16" s="42">
        <v>2.3534213032240507</v>
      </c>
      <c r="V16" s="73" t="s">
        <v>34</v>
      </c>
      <c r="W16" s="36" t="s">
        <v>34</v>
      </c>
      <c r="X16" s="36"/>
      <c r="Y16" s="43" t="s">
        <v>34</v>
      </c>
      <c r="Z16" s="80">
        <f>30*Z15/(Z15*12)</f>
        <v>2.5000000000000004</v>
      </c>
      <c r="AA16" s="36">
        <v>2.5</v>
      </c>
      <c r="AB16" s="36"/>
      <c r="AC16" s="42">
        <v>30.847748168926291</v>
      </c>
      <c r="AD16" s="80">
        <v>5</v>
      </c>
      <c r="AE16" s="36">
        <v>5</v>
      </c>
      <c r="AF16" s="36"/>
      <c r="AG16" s="81" t="s">
        <v>89</v>
      </c>
      <c r="AH16" s="73" t="s">
        <v>34</v>
      </c>
      <c r="AI16" s="43" t="s">
        <v>34</v>
      </c>
      <c r="AJ16" s="43"/>
      <c r="AK16" s="37">
        <v>2.9151045421773611</v>
      </c>
      <c r="AL16" s="108">
        <f>4025/AL15</f>
        <v>3.925297444899551</v>
      </c>
      <c r="AM16" s="43">
        <v>3.9</v>
      </c>
      <c r="AN16" s="43"/>
      <c r="AO16" s="81">
        <v>4.0178789110117838</v>
      </c>
      <c r="AP16" s="101">
        <f>4650/AP15</f>
        <v>1.3717623458611128</v>
      </c>
      <c r="AQ16" s="38">
        <v>1.4</v>
      </c>
      <c r="AR16" s="38"/>
      <c r="AS16" s="43">
        <v>1.6003736663552781</v>
      </c>
      <c r="AT16" s="108">
        <f>60161.85/(AT15*12)</f>
        <v>1.4036305224256675</v>
      </c>
      <c r="AU16" s="38">
        <v>1.4</v>
      </c>
      <c r="AV16" s="38"/>
      <c r="AW16" s="42">
        <v>1.9108712693879835</v>
      </c>
      <c r="AX16" s="101">
        <f>47646/(8076)</f>
        <v>5.8997028231797923</v>
      </c>
      <c r="AY16" s="38">
        <v>5.9</v>
      </c>
      <c r="AZ16" s="38"/>
      <c r="BA16" s="43">
        <v>5.9</v>
      </c>
      <c r="BB16" s="108" t="s">
        <v>34</v>
      </c>
      <c r="BC16" s="38" t="s">
        <v>34</v>
      </c>
      <c r="BD16" s="38"/>
      <c r="BE16" s="42" t="s">
        <v>34</v>
      </c>
      <c r="BF16" s="101" t="s">
        <v>34</v>
      </c>
      <c r="BG16" s="38"/>
      <c r="BH16" s="38"/>
      <c r="BI16" s="43"/>
      <c r="BJ16" s="108">
        <f>41299.87/(BJ15*12)</f>
        <v>1.0099348064244771</v>
      </c>
      <c r="BK16" s="38"/>
      <c r="BL16" s="38"/>
      <c r="BM16" s="42" t="s">
        <v>34</v>
      </c>
      <c r="BN16" s="101">
        <f>152160/(BN15*12)</f>
        <v>4.1698181459436352</v>
      </c>
      <c r="BO16" s="38">
        <v>4.2</v>
      </c>
      <c r="BP16" s="38"/>
      <c r="BQ16" s="43"/>
      <c r="BR16" s="122" t="s">
        <v>63</v>
      </c>
      <c r="BS16" s="39"/>
      <c r="BT16" s="39"/>
      <c r="BU16" s="123" t="s">
        <v>34</v>
      </c>
      <c r="BV16" s="119">
        <v>4</v>
      </c>
      <c r="BW16" s="40">
        <v>3.8</v>
      </c>
      <c r="BX16" s="40"/>
      <c r="BY16" s="124">
        <v>3.77</v>
      </c>
      <c r="BZ16" s="108" t="s">
        <v>64</v>
      </c>
      <c r="CA16" s="38"/>
      <c r="CB16" s="38"/>
      <c r="CC16" s="42"/>
      <c r="CD16" s="126" t="s">
        <v>65</v>
      </c>
      <c r="CE16" s="41"/>
      <c r="CF16" s="41"/>
      <c r="CG16" s="128">
        <v>2.66</v>
      </c>
      <c r="CH16" s="130">
        <v>0.7</v>
      </c>
      <c r="CI16" s="40">
        <v>1.1000000000000001</v>
      </c>
      <c r="CJ16" s="40"/>
      <c r="CK16" s="131">
        <v>0.72</v>
      </c>
      <c r="CL16" s="101" t="s">
        <v>34</v>
      </c>
      <c r="CM16" s="38" t="s">
        <v>34</v>
      </c>
      <c r="CN16" s="38"/>
      <c r="CO16" s="43">
        <v>3.69</v>
      </c>
      <c r="CP16" s="108" t="s">
        <v>34</v>
      </c>
      <c r="CQ16" s="38" t="s">
        <v>34</v>
      </c>
      <c r="CR16" s="38"/>
      <c r="CS16" s="42">
        <v>1.57</v>
      </c>
      <c r="CT16" s="101" t="s">
        <v>34</v>
      </c>
      <c r="CU16" s="38"/>
      <c r="CV16" s="38"/>
      <c r="CW16" s="43">
        <v>1.26</v>
      </c>
      <c r="CX16" s="108">
        <f>115261.56/(CX15*12)</f>
        <v>1.908885488294447</v>
      </c>
      <c r="CY16" s="38">
        <v>1.9</v>
      </c>
      <c r="CZ16" s="38"/>
      <c r="DA16" s="42">
        <v>1.91</v>
      </c>
      <c r="DB16" s="101" t="s">
        <v>34</v>
      </c>
      <c r="DC16" s="38"/>
      <c r="DD16" s="38"/>
      <c r="DE16" s="43" t="s">
        <v>34</v>
      </c>
      <c r="DF16" s="108">
        <v>1.2</v>
      </c>
      <c r="DG16" s="43" t="s">
        <v>34</v>
      </c>
      <c r="DH16" s="43"/>
      <c r="DI16" s="42" t="s">
        <v>34</v>
      </c>
    </row>
    <row r="17" spans="1:112">
      <c r="A17" s="3"/>
      <c r="B17" s="4"/>
      <c r="C17" s="4"/>
      <c r="D17" s="4"/>
      <c r="E17" s="4"/>
      <c r="F17" s="4"/>
      <c r="G17" s="4"/>
      <c r="H17" s="4"/>
      <c r="I17" s="4"/>
      <c r="J17" s="4"/>
      <c r="K17" s="4"/>
      <c r="L17" s="4"/>
      <c r="M17" s="4"/>
      <c r="N17" s="4"/>
      <c r="O17" s="4"/>
      <c r="P17" s="4"/>
      <c r="Q17" s="4"/>
      <c r="R17" s="4"/>
      <c r="S17" s="4"/>
      <c r="T17" s="4"/>
      <c r="U17" s="4"/>
      <c r="V17" s="5"/>
      <c r="W17" s="5"/>
      <c r="X17" s="5"/>
      <c r="Y17" s="5"/>
      <c r="Z17" s="4"/>
      <c r="AA17" s="4"/>
      <c r="AB17" s="4"/>
      <c r="AC17" s="4"/>
      <c r="AD17" s="4"/>
      <c r="AE17" s="4"/>
      <c r="AF17" s="4"/>
      <c r="AG17" s="4"/>
      <c r="AH17" s="4"/>
      <c r="AI17" s="4"/>
      <c r="AJ17" s="4"/>
      <c r="AK17" s="4"/>
      <c r="AL17" s="4"/>
      <c r="AM17" s="4"/>
      <c r="AN17" s="4"/>
      <c r="AO17" s="4"/>
      <c r="AP17" s="6"/>
      <c r="AQ17" s="6"/>
      <c r="AR17" s="6"/>
      <c r="AS17" s="6"/>
      <c r="BV17" s="7"/>
      <c r="BW17" s="7"/>
      <c r="BX17" s="7"/>
      <c r="BY17" s="7"/>
      <c r="BZ17" s="7"/>
      <c r="CA17" s="7"/>
      <c r="CB17" s="7"/>
      <c r="CC17" s="7"/>
      <c r="CD17" s="7"/>
      <c r="CE17" s="7"/>
      <c r="CF17" s="7"/>
      <c r="CG17" s="7"/>
      <c r="CH17" s="7"/>
      <c r="CI17" s="7"/>
      <c r="CJ17" s="7"/>
      <c r="CK17" s="7"/>
    </row>
    <row r="18" spans="1:112">
      <c r="BR18" s="7"/>
      <c r="BS18" s="7"/>
      <c r="BT18" s="7"/>
      <c r="BU18" s="7"/>
      <c r="BV18" s="7"/>
      <c r="BW18" s="7"/>
      <c r="BX18" s="7"/>
      <c r="BY18" s="7"/>
      <c r="CH18" s="7"/>
      <c r="CI18" s="7"/>
      <c r="CJ18" s="7"/>
      <c r="CK18" s="7"/>
      <c r="DF18" s="7"/>
      <c r="DG18" s="7"/>
      <c r="DH18" s="7"/>
    </row>
    <row r="19" spans="1:112">
      <c r="A19" s="3" t="s">
        <v>66</v>
      </c>
      <c r="B19" s="8" t="s">
        <v>67</v>
      </c>
      <c r="C19" s="8"/>
      <c r="D19" s="8"/>
      <c r="E19" s="8"/>
      <c r="F19" s="4"/>
      <c r="G19" s="4"/>
      <c r="H19" s="4"/>
      <c r="I19" s="4"/>
      <c r="J19" s="4"/>
      <c r="K19" s="4"/>
      <c r="L19" s="4"/>
      <c r="M19" s="4"/>
      <c r="N19" s="4"/>
      <c r="O19" s="4"/>
      <c r="P19" s="4"/>
      <c r="Q19" s="4"/>
      <c r="R19" s="4"/>
      <c r="S19" s="4"/>
      <c r="T19" s="4"/>
      <c r="U19" s="4"/>
      <c r="V19" s="5"/>
      <c r="W19" s="5"/>
      <c r="X19" s="5"/>
      <c r="Y19" s="5"/>
      <c r="Z19" s="4"/>
      <c r="AA19" s="4"/>
      <c r="AB19" s="4"/>
      <c r="AC19" s="4"/>
      <c r="AD19" s="4"/>
      <c r="AE19" s="4"/>
      <c r="AF19" s="4"/>
      <c r="AG19" s="4"/>
      <c r="AH19" s="4"/>
      <c r="AI19" s="4"/>
      <c r="AJ19" s="4"/>
      <c r="AK19" s="4"/>
      <c r="AL19" s="4"/>
      <c r="AM19" s="4"/>
      <c r="AN19" s="4"/>
      <c r="AO19" s="4"/>
      <c r="AP19" s="6"/>
      <c r="AQ19" s="6"/>
      <c r="AR19" s="6"/>
      <c r="AS19" s="6"/>
    </row>
    <row r="20" spans="1:112">
      <c r="A20" s="3" t="s">
        <v>68</v>
      </c>
      <c r="B20" s="8" t="s">
        <v>69</v>
      </c>
      <c r="C20" s="8"/>
      <c r="D20" s="8"/>
      <c r="E20" s="8"/>
      <c r="F20" s="4"/>
      <c r="G20" s="4"/>
      <c r="H20" s="4"/>
      <c r="I20" s="4"/>
      <c r="J20" s="4"/>
      <c r="K20" s="4"/>
      <c r="L20" s="4"/>
      <c r="M20" s="4"/>
      <c r="N20" s="4"/>
      <c r="O20" s="4"/>
      <c r="P20" s="4"/>
      <c r="Q20" s="4"/>
      <c r="R20" s="4"/>
      <c r="S20" s="4"/>
      <c r="T20" s="4"/>
      <c r="U20" s="4"/>
      <c r="V20" s="5"/>
      <c r="W20" s="5"/>
      <c r="X20" s="5"/>
      <c r="Y20" s="5"/>
      <c r="Z20" s="4"/>
      <c r="AA20" s="4"/>
      <c r="AB20" s="4"/>
      <c r="AC20" s="4"/>
      <c r="AD20" s="4"/>
      <c r="AE20" s="4"/>
      <c r="AF20" s="4"/>
      <c r="AG20" s="4"/>
      <c r="AH20" s="4"/>
      <c r="AI20" s="4"/>
      <c r="AJ20" s="4"/>
      <c r="AK20" s="4"/>
      <c r="AL20" s="4"/>
      <c r="AM20" s="4"/>
      <c r="AN20" s="4"/>
      <c r="AO20" s="4"/>
      <c r="AP20" s="6"/>
      <c r="AQ20" s="6"/>
      <c r="AR20" s="6"/>
      <c r="AS20" s="6"/>
    </row>
    <row r="21" spans="1:112">
      <c r="A21" s="3"/>
      <c r="B21" s="8" t="s">
        <v>70</v>
      </c>
      <c r="C21" s="8"/>
      <c r="D21" s="8"/>
      <c r="E21" s="8"/>
      <c r="F21" s="4"/>
      <c r="G21" s="4"/>
      <c r="H21" s="4"/>
      <c r="I21" s="4"/>
      <c r="J21" s="4"/>
      <c r="K21" s="4"/>
      <c r="L21" s="4"/>
      <c r="M21" s="4"/>
      <c r="N21" s="4"/>
      <c r="O21" s="4"/>
      <c r="P21" s="4"/>
      <c r="Q21" s="4"/>
      <c r="R21" s="4"/>
      <c r="S21" s="4"/>
      <c r="T21" s="4"/>
      <c r="U21" s="4"/>
      <c r="V21" s="5"/>
      <c r="W21" s="5"/>
      <c r="X21" s="5"/>
      <c r="Y21" s="5"/>
      <c r="Z21" s="4"/>
      <c r="AA21" s="4"/>
      <c r="AB21" s="4"/>
      <c r="AC21" s="4"/>
      <c r="AD21" s="4"/>
      <c r="AE21" s="4"/>
      <c r="AF21" s="4"/>
      <c r="AG21" s="4"/>
      <c r="AH21" s="4"/>
      <c r="AI21" s="4"/>
      <c r="AJ21" s="4"/>
      <c r="AK21" s="4"/>
      <c r="AL21" s="4"/>
      <c r="AM21" s="4"/>
      <c r="AN21" s="4"/>
      <c r="AO21" s="4"/>
      <c r="AP21" s="6"/>
      <c r="AQ21" s="6"/>
      <c r="AR21" s="6"/>
      <c r="AS21" s="6"/>
    </row>
    <row r="22" spans="1:112">
      <c r="A22" s="3"/>
      <c r="B22" s="8" t="s">
        <v>71</v>
      </c>
      <c r="C22" s="8"/>
      <c r="D22" s="8"/>
      <c r="E22" s="8"/>
      <c r="F22" s="4"/>
      <c r="G22" s="4"/>
      <c r="H22" s="4"/>
      <c r="I22" s="4"/>
      <c r="J22" s="4"/>
      <c r="K22" s="4"/>
      <c r="L22" s="4"/>
      <c r="M22" s="4"/>
      <c r="N22" s="4"/>
      <c r="O22" s="4"/>
      <c r="P22" s="4"/>
      <c r="Q22" s="4"/>
      <c r="R22" s="4"/>
      <c r="S22" s="4"/>
      <c r="T22" s="4"/>
      <c r="U22" s="4"/>
      <c r="V22" s="5"/>
      <c r="W22" s="5"/>
      <c r="X22" s="5"/>
      <c r="Y22" s="5"/>
      <c r="Z22" s="4"/>
      <c r="AA22" s="4"/>
      <c r="AB22" s="4"/>
      <c r="AC22" s="4"/>
      <c r="AD22" s="4"/>
      <c r="AE22" s="4"/>
      <c r="AF22" s="4"/>
      <c r="AG22" s="4"/>
      <c r="AH22" s="4"/>
      <c r="AI22" s="4"/>
      <c r="AJ22" s="4"/>
      <c r="AK22" s="4"/>
      <c r="AL22" s="4"/>
      <c r="AM22" s="4"/>
      <c r="AN22" s="4"/>
      <c r="AO22" s="4"/>
      <c r="AP22" s="6"/>
      <c r="AQ22" s="6"/>
      <c r="AR22" s="6"/>
      <c r="AS22" s="6"/>
    </row>
    <row r="23" spans="1:112">
      <c r="A23" s="3"/>
      <c r="B23" s="8"/>
      <c r="C23" s="8"/>
      <c r="D23" s="8"/>
      <c r="E23" s="8"/>
      <c r="F23" s="4"/>
      <c r="G23" s="4"/>
      <c r="H23" s="4"/>
      <c r="I23" s="4"/>
      <c r="J23" s="4"/>
      <c r="K23" s="4"/>
      <c r="L23" s="4"/>
      <c r="M23" s="4"/>
      <c r="N23" s="4"/>
      <c r="O23" s="4"/>
      <c r="P23" s="4"/>
      <c r="Q23" s="4"/>
      <c r="R23" s="4"/>
      <c r="S23" s="4"/>
      <c r="T23" s="4"/>
      <c r="U23" s="4"/>
      <c r="V23" s="5"/>
      <c r="W23" s="5"/>
      <c r="X23" s="5"/>
      <c r="Y23" s="5"/>
      <c r="Z23" s="4"/>
      <c r="AA23" s="4"/>
      <c r="AB23" s="4"/>
      <c r="AC23" s="4"/>
      <c r="AD23" s="4"/>
      <c r="AE23" s="4"/>
      <c r="AF23" s="4"/>
      <c r="AG23" s="4"/>
      <c r="AH23" s="4"/>
      <c r="AI23" s="4"/>
      <c r="AJ23" s="4"/>
      <c r="AK23" s="4"/>
      <c r="AL23" s="4"/>
      <c r="AM23" s="4"/>
      <c r="AN23" s="4"/>
      <c r="AO23" s="4"/>
      <c r="AP23" s="6"/>
      <c r="AQ23" s="6"/>
      <c r="AR23" s="6"/>
      <c r="AS23" s="6"/>
    </row>
  </sheetData>
  <mergeCells count="114">
    <mergeCell ref="B2:E2"/>
    <mergeCell ref="F2:I2"/>
    <mergeCell ref="J2:M2"/>
    <mergeCell ref="N2:Q2"/>
    <mergeCell ref="R2:U2"/>
    <mergeCell ref="AH15:AK15"/>
    <mergeCell ref="B15:E15"/>
    <mergeCell ref="F15:I15"/>
    <mergeCell ref="J15:M15"/>
    <mergeCell ref="N15:Q15"/>
    <mergeCell ref="R15:U15"/>
    <mergeCell ref="AH2:AK2"/>
    <mergeCell ref="AH6:AK6"/>
    <mergeCell ref="AL15:AO15"/>
    <mergeCell ref="AP15:AS15"/>
    <mergeCell ref="AT15:AW15"/>
    <mergeCell ref="AX15:BA15"/>
    <mergeCell ref="BB15:BE15"/>
    <mergeCell ref="Z2:AC2"/>
    <mergeCell ref="AD2:AG2"/>
    <mergeCell ref="Z15:AC15"/>
    <mergeCell ref="V15:Y15"/>
    <mergeCell ref="AD15:AG15"/>
    <mergeCell ref="V2:Y2"/>
    <mergeCell ref="V6:Y6"/>
    <mergeCell ref="Z6:AC6"/>
    <mergeCell ref="AD6:AG6"/>
    <mergeCell ref="BB2:BE2"/>
    <mergeCell ref="AL2:AO2"/>
    <mergeCell ref="AP2:AS2"/>
    <mergeCell ref="AT2:AW2"/>
    <mergeCell ref="AX2:BA2"/>
    <mergeCell ref="AL6:AO6"/>
    <mergeCell ref="AP6:AS6"/>
    <mergeCell ref="AT6:AW6"/>
    <mergeCell ref="AX6:BA6"/>
    <mergeCell ref="BB6:BE6"/>
    <mergeCell ref="BF15:BI15"/>
    <mergeCell ref="BJ15:BM15"/>
    <mergeCell ref="BN15:BQ15"/>
    <mergeCell ref="BR15:BU15"/>
    <mergeCell ref="CD2:CG2"/>
    <mergeCell ref="BF6:BI6"/>
    <mergeCell ref="BJ6:BM6"/>
    <mergeCell ref="BF7:BI7"/>
    <mergeCell ref="BJ7:BM7"/>
    <mergeCell ref="BN7:BQ7"/>
    <mergeCell ref="BR7:BU7"/>
    <mergeCell ref="BV7:BY7"/>
    <mergeCell ref="BZ7:CC7"/>
    <mergeCell ref="CD7:CG7"/>
    <mergeCell ref="BF2:BI2"/>
    <mergeCell ref="BJ2:BM2"/>
    <mergeCell ref="CA9:CA12"/>
    <mergeCell ref="CH2:CK2"/>
    <mergeCell ref="CD15:CG15"/>
    <mergeCell ref="CH15:CK15"/>
    <mergeCell ref="BN2:BQ2"/>
    <mergeCell ref="BR2:BU2"/>
    <mergeCell ref="BZ9:BZ12"/>
    <mergeCell ref="BV2:BY2"/>
    <mergeCell ref="BV15:BY15"/>
    <mergeCell ref="BZ2:CC2"/>
    <mergeCell ref="BZ15:CC15"/>
    <mergeCell ref="BN6:BQ6"/>
    <mergeCell ref="BR6:BU6"/>
    <mergeCell ref="BV6:BY6"/>
    <mergeCell ref="BZ6:CC6"/>
    <mergeCell ref="CD6:CG6"/>
    <mergeCell ref="CH6:CK6"/>
    <mergeCell ref="CH7:CK7"/>
    <mergeCell ref="DF2:DI2"/>
    <mergeCell ref="DB15:DE15"/>
    <mergeCell ref="DF15:DI15"/>
    <mergeCell ref="CL2:CO2"/>
    <mergeCell ref="CP2:CS2"/>
    <mergeCell ref="CT2:CW2"/>
    <mergeCell ref="CX2:DA2"/>
    <mergeCell ref="DB2:DE2"/>
    <mergeCell ref="CL15:CO15"/>
    <mergeCell ref="CP15:CS15"/>
    <mergeCell ref="CT15:CW15"/>
    <mergeCell ref="CX15:DA15"/>
    <mergeCell ref="CL6:CO6"/>
    <mergeCell ref="CP6:CS6"/>
    <mergeCell ref="CT6:CW6"/>
    <mergeCell ref="CX6:DA6"/>
    <mergeCell ref="DB7:DE7"/>
    <mergeCell ref="DF7:DI7"/>
    <mergeCell ref="CL7:CO7"/>
    <mergeCell ref="CP7:CS7"/>
    <mergeCell ref="CT7:CW7"/>
    <mergeCell ref="CX7:DA7"/>
    <mergeCell ref="DB6:DE6"/>
    <mergeCell ref="DF6:DI6"/>
    <mergeCell ref="AL7:AO7"/>
    <mergeCell ref="AP7:AS7"/>
    <mergeCell ref="AT7:AW7"/>
    <mergeCell ref="AX7:BA7"/>
    <mergeCell ref="BB7:BE7"/>
    <mergeCell ref="B6:E6"/>
    <mergeCell ref="F6:I6"/>
    <mergeCell ref="J6:M6"/>
    <mergeCell ref="N6:Q6"/>
    <mergeCell ref="R6:U6"/>
    <mergeCell ref="B7:E7"/>
    <mergeCell ref="F7:I7"/>
    <mergeCell ref="J7:M7"/>
    <mergeCell ref="N7:Q7"/>
    <mergeCell ref="R7:U7"/>
    <mergeCell ref="V7:Y7"/>
    <mergeCell ref="Z7:AC7"/>
    <mergeCell ref="AD7:AG7"/>
    <mergeCell ref="AH7:AK7"/>
  </mergeCells>
  <pageMargins left="0.7" right="0.7" top="0.75" bottom="0.75" header="0.3" footer="0.3"/>
  <pageSetup paperSize="9"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23"/>
  <sheetViews>
    <sheetView topLeftCell="A11" zoomScaleNormal="100" workbookViewId="0">
      <pane xSplit="1" topLeftCell="CF1" activePane="topRight" state="frozen"/>
      <selection activeCell="A2" sqref="A2"/>
      <selection pane="topRight" activeCell="P14" sqref="P14"/>
    </sheetView>
  </sheetViews>
  <sheetFormatPr defaultRowHeight="15"/>
  <cols>
    <col min="1" max="1" width="32.42578125" customWidth="1"/>
    <col min="2" max="3" width="14.7109375" hidden="1" customWidth="1"/>
    <col min="4" max="4" width="17" bestFit="1" customWidth="1"/>
    <col min="5" max="5" width="12.7109375" customWidth="1"/>
    <col min="6" max="7" width="14.7109375" hidden="1" customWidth="1"/>
    <col min="8" max="8" width="17" bestFit="1" customWidth="1"/>
    <col min="9" max="9" width="14.7109375" customWidth="1"/>
    <col min="10" max="11" width="12.42578125" hidden="1" customWidth="1"/>
    <col min="12" max="12" width="17" style="209" bestFit="1" customWidth="1"/>
    <col min="13" max="13" width="12.42578125" style="210" customWidth="1"/>
    <col min="14" max="15" width="12.28515625" hidden="1" customWidth="1"/>
    <col min="16" max="16" width="17" bestFit="1" customWidth="1"/>
    <col min="17" max="17" width="12.28515625" customWidth="1"/>
    <col min="18" max="19" width="12.7109375" hidden="1" customWidth="1"/>
    <col min="20" max="20" width="17" style="209" bestFit="1" customWidth="1"/>
    <col min="21" max="21" width="12.7109375" style="210" customWidth="1"/>
    <col min="22" max="22" width="12.42578125" hidden="1" customWidth="1"/>
    <col min="23" max="23" width="0.42578125" hidden="1" customWidth="1"/>
    <col min="24" max="24" width="17" customWidth="1"/>
    <col min="25" max="25" width="12.42578125" customWidth="1"/>
    <col min="26" max="26" width="13.85546875" hidden="1" customWidth="1"/>
    <col min="27" max="27" width="5.7109375" hidden="1" customWidth="1"/>
    <col min="28" max="28" width="17" customWidth="1"/>
    <col min="29" max="29" width="13.85546875" customWidth="1"/>
    <col min="30" max="31" width="15.140625" hidden="1" customWidth="1"/>
    <col min="32" max="32" width="17" customWidth="1"/>
    <col min="33" max="33" width="18.7109375" customWidth="1"/>
    <col min="34" max="34" width="20.5703125" hidden="1" customWidth="1"/>
    <col min="35" max="35" width="11.7109375" hidden="1" customWidth="1"/>
    <col min="36" max="36" width="17" bestFit="1" customWidth="1"/>
    <col min="37" max="37" width="16.28515625" customWidth="1"/>
    <col min="38" max="39" width="17.42578125" hidden="1" customWidth="1"/>
    <col min="40" max="40" width="17.42578125" customWidth="1"/>
    <col min="41" max="41" width="19.28515625" customWidth="1"/>
    <col min="42" max="42" width="23" hidden="1" customWidth="1"/>
    <col min="43" max="43" width="10.42578125" hidden="1" customWidth="1"/>
    <col min="44" max="44" width="17" customWidth="1"/>
    <col min="45" max="45" width="15.140625" customWidth="1"/>
    <col min="46" max="46" width="27.28515625" hidden="1" customWidth="1"/>
    <col min="47" max="47" width="14.7109375" hidden="1" customWidth="1"/>
    <col min="48" max="48" width="17" bestFit="1" customWidth="1"/>
    <col min="49" max="49" width="22" customWidth="1"/>
    <col min="50" max="50" width="18.7109375" hidden="1" customWidth="1"/>
    <col min="51" max="51" width="0" hidden="1" customWidth="1"/>
    <col min="52" max="52" width="17" bestFit="1" customWidth="1"/>
    <col min="53" max="53" width="19.7109375" customWidth="1"/>
    <col min="54" max="54" width="24" hidden="1" customWidth="1"/>
    <col min="55" max="55" width="0" hidden="1" customWidth="1"/>
    <col min="56" max="56" width="17" bestFit="1" customWidth="1"/>
    <col min="57" max="57" width="17.7109375" customWidth="1"/>
    <col min="58" max="59" width="15.7109375" hidden="1" customWidth="1"/>
    <col min="60" max="60" width="17" bestFit="1" customWidth="1"/>
    <col min="62" max="62" width="28.28515625" hidden="1" customWidth="1"/>
    <col min="63" max="63" width="18.140625" hidden="1" customWidth="1"/>
    <col min="64" max="64" width="17" bestFit="1" customWidth="1"/>
    <col min="65" max="65" width="28.140625" customWidth="1"/>
    <col min="66" max="66" width="22.7109375" hidden="1" customWidth="1"/>
    <col min="67" max="67" width="23.5703125" hidden="1" customWidth="1"/>
    <col min="68" max="68" width="22.7109375" customWidth="1"/>
    <col min="69" max="69" width="22.5703125" customWidth="1"/>
    <col min="70" max="71" width="15.7109375" hidden="1" customWidth="1"/>
    <col min="72" max="73" width="15.7109375" customWidth="1"/>
    <col min="74" max="74" width="16.7109375" hidden="1" customWidth="1"/>
    <col min="75" max="75" width="11.28515625" hidden="1" customWidth="1"/>
    <col min="76" max="76" width="17" bestFit="1" customWidth="1"/>
    <col min="77" max="77" width="11.28515625" customWidth="1"/>
    <col min="78" max="78" width="16.28515625" hidden="1" customWidth="1"/>
    <col min="79" max="79" width="19.5703125" hidden="1" customWidth="1"/>
    <col min="80" max="80" width="17" bestFit="1" customWidth="1"/>
    <col min="81" max="81" width="11.28515625" customWidth="1"/>
    <col min="82" max="83" width="23.7109375" hidden="1" customWidth="1"/>
    <col min="84" max="84" width="23.7109375" customWidth="1"/>
    <col min="85" max="85" width="22.7109375" customWidth="1"/>
    <col min="86" max="86" width="19.28515625" hidden="1" customWidth="1"/>
    <col min="87" max="87" width="10.28515625" hidden="1" customWidth="1"/>
    <col min="88" max="88" width="17" bestFit="1" customWidth="1"/>
    <col min="89" max="89" width="14.28515625" customWidth="1"/>
    <col min="90" max="90" width="25.7109375" hidden="1" customWidth="1"/>
    <col min="91" max="91" width="0" hidden="1" customWidth="1"/>
    <col min="92" max="92" width="17" bestFit="1" customWidth="1"/>
    <col min="93" max="93" width="21.28515625" customWidth="1"/>
    <col min="94" max="94" width="21.5703125" hidden="1" customWidth="1"/>
    <col min="95" max="95" width="0" hidden="1" customWidth="1"/>
    <col min="96" max="96" width="17" bestFit="1" customWidth="1"/>
    <col min="97" max="97" width="12.7109375" customWidth="1"/>
    <col min="98" max="99" width="15.7109375" hidden="1" customWidth="1"/>
    <col min="100" max="100" width="17" bestFit="1" customWidth="1"/>
    <col min="101" max="101" width="17.28515625" customWidth="1"/>
    <col min="102" max="103" width="0" hidden="1" customWidth="1"/>
    <col min="104" max="104" width="17" bestFit="1" customWidth="1"/>
    <col min="106" max="106" width="24.7109375" hidden="1" customWidth="1"/>
    <col min="107" max="107" width="23" hidden="1" customWidth="1"/>
    <col min="108" max="108" width="17" bestFit="1" customWidth="1"/>
    <col min="109" max="109" width="23.7109375" customWidth="1"/>
    <col min="110" max="111" width="10.7109375" hidden="1" customWidth="1"/>
    <col min="112" max="112" width="17" bestFit="1" customWidth="1"/>
    <col min="113" max="113" width="14.140625" customWidth="1"/>
    <col min="340" max="340" width="17.28515625" customWidth="1"/>
    <col min="341" max="341" width="12.7109375" customWidth="1"/>
    <col min="342" max="342" width="14.7109375" customWidth="1"/>
    <col min="343" max="343" width="12.42578125" customWidth="1"/>
    <col min="344" max="344" width="12.28515625" customWidth="1"/>
    <col min="345" max="345" width="12.7109375" customWidth="1"/>
    <col min="346" max="346" width="12.42578125" customWidth="1"/>
    <col min="347" max="347" width="13.85546875" customWidth="1"/>
    <col min="348" max="348" width="20.28515625" customWidth="1"/>
    <col min="349" max="349" width="11.7109375" customWidth="1"/>
    <col min="350" max="350" width="17.42578125" customWidth="1"/>
    <col min="356" max="356" width="11.42578125" customWidth="1"/>
    <col min="357" max="357" width="16" customWidth="1"/>
    <col min="358" max="358" width="12" customWidth="1"/>
    <col min="359" max="360" width="11.28515625" bestFit="1" customWidth="1"/>
    <col min="361" max="361" width="9.140625" bestFit="1" customWidth="1"/>
    <col min="362" max="362" width="10.28515625" bestFit="1" customWidth="1"/>
    <col min="365" max="365" width="11.28515625" bestFit="1" customWidth="1"/>
    <col min="368" max="368" width="10.7109375" bestFit="1" customWidth="1"/>
    <col min="596" max="596" width="17.28515625" customWidth="1"/>
    <col min="597" max="597" width="12.7109375" customWidth="1"/>
    <col min="598" max="598" width="14.7109375" customWidth="1"/>
    <col min="599" max="599" width="12.42578125" customWidth="1"/>
    <col min="600" max="600" width="12.28515625" customWidth="1"/>
    <col min="601" max="601" width="12.7109375" customWidth="1"/>
    <col min="602" max="602" width="12.42578125" customWidth="1"/>
    <col min="603" max="603" width="13.85546875" customWidth="1"/>
    <col min="604" max="604" width="20.28515625" customWidth="1"/>
    <col min="605" max="605" width="11.7109375" customWidth="1"/>
    <col min="606" max="606" width="17.42578125" customWidth="1"/>
    <col min="612" max="612" width="11.42578125" customWidth="1"/>
    <col min="613" max="613" width="16" customWidth="1"/>
    <col min="614" max="614" width="12" customWidth="1"/>
    <col min="615" max="616" width="11.28515625" bestFit="1" customWidth="1"/>
    <col min="617" max="617" width="9.140625" bestFit="1" customWidth="1"/>
    <col min="618" max="618" width="10.28515625" bestFit="1" customWidth="1"/>
    <col min="621" max="621" width="11.28515625" bestFit="1" customWidth="1"/>
    <col min="624" max="624" width="10.7109375" bestFit="1" customWidth="1"/>
    <col min="852" max="852" width="17.28515625" customWidth="1"/>
    <col min="853" max="853" width="12.7109375" customWidth="1"/>
    <col min="854" max="854" width="14.7109375" customWidth="1"/>
    <col min="855" max="855" width="12.42578125" customWidth="1"/>
    <col min="856" max="856" width="12.28515625" customWidth="1"/>
    <col min="857" max="857" width="12.7109375" customWidth="1"/>
    <col min="858" max="858" width="12.42578125" customWidth="1"/>
    <col min="859" max="859" width="13.85546875" customWidth="1"/>
    <col min="860" max="860" width="20.28515625" customWidth="1"/>
    <col min="861" max="861" width="11.7109375" customWidth="1"/>
    <col min="862" max="862" width="17.42578125" customWidth="1"/>
    <col min="868" max="868" width="11.42578125" customWidth="1"/>
    <col min="869" max="869" width="16" customWidth="1"/>
    <col min="870" max="870" width="12" customWidth="1"/>
    <col min="871" max="872" width="11.28515625" bestFit="1" customWidth="1"/>
    <col min="873" max="873" width="9.140625" bestFit="1" customWidth="1"/>
    <col min="874" max="874" width="10.28515625" bestFit="1" customWidth="1"/>
    <col min="877" max="877" width="11.28515625" bestFit="1" customWidth="1"/>
    <col min="880" max="880" width="10.7109375" bestFit="1" customWidth="1"/>
    <col min="1108" max="1108" width="17.28515625" customWidth="1"/>
    <col min="1109" max="1109" width="12.7109375" customWidth="1"/>
    <col min="1110" max="1110" width="14.7109375" customWidth="1"/>
    <col min="1111" max="1111" width="12.42578125" customWidth="1"/>
    <col min="1112" max="1112" width="12.28515625" customWidth="1"/>
    <col min="1113" max="1113" width="12.7109375" customWidth="1"/>
    <col min="1114" max="1114" width="12.42578125" customWidth="1"/>
    <col min="1115" max="1115" width="13.85546875" customWidth="1"/>
    <col min="1116" max="1116" width="20.28515625" customWidth="1"/>
    <col min="1117" max="1117" width="11.7109375" customWidth="1"/>
    <col min="1118" max="1118" width="17.42578125" customWidth="1"/>
    <col min="1124" max="1124" width="11.42578125" customWidth="1"/>
    <col min="1125" max="1125" width="16" customWidth="1"/>
    <col min="1126" max="1126" width="12" customWidth="1"/>
    <col min="1127" max="1128" width="11.28515625" bestFit="1" customWidth="1"/>
    <col min="1129" max="1129" width="9.140625" bestFit="1" customWidth="1"/>
    <col min="1130" max="1130" width="10.28515625" bestFit="1" customWidth="1"/>
    <col min="1133" max="1133" width="11.28515625" bestFit="1" customWidth="1"/>
    <col min="1136" max="1136" width="10.7109375" bestFit="1" customWidth="1"/>
    <col min="1364" max="1364" width="17.28515625" customWidth="1"/>
    <col min="1365" max="1365" width="12.7109375" customWidth="1"/>
    <col min="1366" max="1366" width="14.7109375" customWidth="1"/>
    <col min="1367" max="1367" width="12.42578125" customWidth="1"/>
    <col min="1368" max="1368" width="12.28515625" customWidth="1"/>
    <col min="1369" max="1369" width="12.7109375" customWidth="1"/>
    <col min="1370" max="1370" width="12.42578125" customWidth="1"/>
    <col min="1371" max="1371" width="13.85546875" customWidth="1"/>
    <col min="1372" max="1372" width="20.28515625" customWidth="1"/>
    <col min="1373" max="1373" width="11.7109375" customWidth="1"/>
    <col min="1374" max="1374" width="17.42578125" customWidth="1"/>
    <col min="1380" max="1380" width="11.42578125" customWidth="1"/>
    <col min="1381" max="1381" width="16" customWidth="1"/>
    <col min="1382" max="1382" width="12" customWidth="1"/>
    <col min="1383" max="1384" width="11.28515625" bestFit="1" customWidth="1"/>
    <col min="1385" max="1385" width="9.140625" bestFit="1" customWidth="1"/>
    <col min="1386" max="1386" width="10.28515625" bestFit="1" customWidth="1"/>
    <col min="1389" max="1389" width="11.28515625" bestFit="1" customWidth="1"/>
    <col min="1392" max="1392" width="10.7109375" bestFit="1" customWidth="1"/>
    <col min="1620" max="1620" width="17.28515625" customWidth="1"/>
    <col min="1621" max="1621" width="12.7109375" customWidth="1"/>
    <col min="1622" max="1622" width="14.7109375" customWidth="1"/>
    <col min="1623" max="1623" width="12.42578125" customWidth="1"/>
    <col min="1624" max="1624" width="12.28515625" customWidth="1"/>
    <col min="1625" max="1625" width="12.7109375" customWidth="1"/>
    <col min="1626" max="1626" width="12.42578125" customWidth="1"/>
    <col min="1627" max="1627" width="13.85546875" customWidth="1"/>
    <col min="1628" max="1628" width="20.28515625" customWidth="1"/>
    <col min="1629" max="1629" width="11.7109375" customWidth="1"/>
    <col min="1630" max="1630" width="17.42578125" customWidth="1"/>
    <col min="1636" max="1636" width="11.42578125" customWidth="1"/>
    <col min="1637" max="1637" width="16" customWidth="1"/>
    <col min="1638" max="1638" width="12" customWidth="1"/>
    <col min="1639" max="1640" width="11.28515625" bestFit="1" customWidth="1"/>
    <col min="1641" max="1641" width="9.140625" bestFit="1" customWidth="1"/>
    <col min="1642" max="1642" width="10.28515625" bestFit="1" customWidth="1"/>
    <col min="1645" max="1645" width="11.28515625" bestFit="1" customWidth="1"/>
    <col min="1648" max="1648" width="10.7109375" bestFit="1" customWidth="1"/>
    <col min="1876" max="1876" width="17.28515625" customWidth="1"/>
    <col min="1877" max="1877" width="12.7109375" customWidth="1"/>
    <col min="1878" max="1878" width="14.7109375" customWidth="1"/>
    <col min="1879" max="1879" width="12.42578125" customWidth="1"/>
    <col min="1880" max="1880" width="12.28515625" customWidth="1"/>
    <col min="1881" max="1881" width="12.7109375" customWidth="1"/>
    <col min="1882" max="1882" width="12.42578125" customWidth="1"/>
    <col min="1883" max="1883" width="13.85546875" customWidth="1"/>
    <col min="1884" max="1884" width="20.28515625" customWidth="1"/>
    <col min="1885" max="1885" width="11.7109375" customWidth="1"/>
    <col min="1886" max="1886" width="17.42578125" customWidth="1"/>
    <col min="1892" max="1892" width="11.42578125" customWidth="1"/>
    <col min="1893" max="1893" width="16" customWidth="1"/>
    <col min="1894" max="1894" width="12" customWidth="1"/>
    <col min="1895" max="1896" width="11.28515625" bestFit="1" customWidth="1"/>
    <col min="1897" max="1897" width="9.140625" bestFit="1" customWidth="1"/>
    <col min="1898" max="1898" width="10.28515625" bestFit="1" customWidth="1"/>
    <col min="1901" max="1901" width="11.28515625" bestFit="1" customWidth="1"/>
    <col min="1904" max="1904" width="10.7109375" bestFit="1" customWidth="1"/>
    <col min="2132" max="2132" width="17.28515625" customWidth="1"/>
    <col min="2133" max="2133" width="12.7109375" customWidth="1"/>
    <col min="2134" max="2134" width="14.7109375" customWidth="1"/>
    <col min="2135" max="2135" width="12.42578125" customWidth="1"/>
    <col min="2136" max="2136" width="12.28515625" customWidth="1"/>
    <col min="2137" max="2137" width="12.7109375" customWidth="1"/>
    <col min="2138" max="2138" width="12.42578125" customWidth="1"/>
    <col min="2139" max="2139" width="13.85546875" customWidth="1"/>
    <col min="2140" max="2140" width="20.28515625" customWidth="1"/>
    <col min="2141" max="2141" width="11.7109375" customWidth="1"/>
    <col min="2142" max="2142" width="17.42578125" customWidth="1"/>
    <col min="2148" max="2148" width="11.42578125" customWidth="1"/>
    <col min="2149" max="2149" width="16" customWidth="1"/>
    <col min="2150" max="2150" width="12" customWidth="1"/>
    <col min="2151" max="2152" width="11.28515625" bestFit="1" customWidth="1"/>
    <col min="2153" max="2153" width="9.140625" bestFit="1" customWidth="1"/>
    <col min="2154" max="2154" width="10.28515625" bestFit="1" customWidth="1"/>
    <col min="2157" max="2157" width="11.28515625" bestFit="1" customWidth="1"/>
    <col min="2160" max="2160" width="10.7109375" bestFit="1" customWidth="1"/>
    <col min="2388" max="2388" width="17.28515625" customWidth="1"/>
    <col min="2389" max="2389" width="12.7109375" customWidth="1"/>
    <col min="2390" max="2390" width="14.7109375" customWidth="1"/>
    <col min="2391" max="2391" width="12.42578125" customWidth="1"/>
    <col min="2392" max="2392" width="12.28515625" customWidth="1"/>
    <col min="2393" max="2393" width="12.7109375" customWidth="1"/>
    <col min="2394" max="2394" width="12.42578125" customWidth="1"/>
    <col min="2395" max="2395" width="13.85546875" customWidth="1"/>
    <col min="2396" max="2396" width="20.28515625" customWidth="1"/>
    <col min="2397" max="2397" width="11.7109375" customWidth="1"/>
    <col min="2398" max="2398" width="17.42578125" customWidth="1"/>
    <col min="2404" max="2404" width="11.42578125" customWidth="1"/>
    <col min="2405" max="2405" width="16" customWidth="1"/>
    <col min="2406" max="2406" width="12" customWidth="1"/>
    <col min="2407" max="2408" width="11.28515625" bestFit="1" customWidth="1"/>
    <col min="2409" max="2409" width="9.140625" bestFit="1" customWidth="1"/>
    <col min="2410" max="2410" width="10.28515625" bestFit="1" customWidth="1"/>
    <col min="2413" max="2413" width="11.28515625" bestFit="1" customWidth="1"/>
    <col min="2416" max="2416" width="10.7109375" bestFit="1" customWidth="1"/>
    <col min="2644" max="2644" width="17.28515625" customWidth="1"/>
    <col min="2645" max="2645" width="12.7109375" customWidth="1"/>
    <col min="2646" max="2646" width="14.7109375" customWidth="1"/>
    <col min="2647" max="2647" width="12.42578125" customWidth="1"/>
    <col min="2648" max="2648" width="12.28515625" customWidth="1"/>
    <col min="2649" max="2649" width="12.7109375" customWidth="1"/>
    <col min="2650" max="2650" width="12.42578125" customWidth="1"/>
    <col min="2651" max="2651" width="13.85546875" customWidth="1"/>
    <col min="2652" max="2652" width="20.28515625" customWidth="1"/>
    <col min="2653" max="2653" width="11.7109375" customWidth="1"/>
    <col min="2654" max="2654" width="17.42578125" customWidth="1"/>
    <col min="2660" max="2660" width="11.42578125" customWidth="1"/>
    <col min="2661" max="2661" width="16" customWidth="1"/>
    <col min="2662" max="2662" width="12" customWidth="1"/>
    <col min="2663" max="2664" width="11.28515625" bestFit="1" customWidth="1"/>
    <col min="2665" max="2665" width="9.140625" bestFit="1" customWidth="1"/>
    <col min="2666" max="2666" width="10.28515625" bestFit="1" customWidth="1"/>
    <col min="2669" max="2669" width="11.28515625" bestFit="1" customWidth="1"/>
    <col min="2672" max="2672" width="10.7109375" bestFit="1" customWidth="1"/>
    <col min="2900" max="2900" width="17.28515625" customWidth="1"/>
    <col min="2901" max="2901" width="12.7109375" customWidth="1"/>
    <col min="2902" max="2902" width="14.7109375" customWidth="1"/>
    <col min="2903" max="2903" width="12.42578125" customWidth="1"/>
    <col min="2904" max="2904" width="12.28515625" customWidth="1"/>
    <col min="2905" max="2905" width="12.7109375" customWidth="1"/>
    <col min="2906" max="2906" width="12.42578125" customWidth="1"/>
    <col min="2907" max="2907" width="13.85546875" customWidth="1"/>
    <col min="2908" max="2908" width="20.28515625" customWidth="1"/>
    <col min="2909" max="2909" width="11.7109375" customWidth="1"/>
    <col min="2910" max="2910" width="17.42578125" customWidth="1"/>
    <col min="2916" max="2916" width="11.42578125" customWidth="1"/>
    <col min="2917" max="2917" width="16" customWidth="1"/>
    <col min="2918" max="2918" width="12" customWidth="1"/>
    <col min="2919" max="2920" width="11.28515625" bestFit="1" customWidth="1"/>
    <col min="2921" max="2921" width="9.140625" bestFit="1" customWidth="1"/>
    <col min="2922" max="2922" width="10.28515625" bestFit="1" customWidth="1"/>
    <col min="2925" max="2925" width="11.28515625" bestFit="1" customWidth="1"/>
    <col min="2928" max="2928" width="10.7109375" bestFit="1" customWidth="1"/>
    <col min="3156" max="3156" width="17.28515625" customWidth="1"/>
    <col min="3157" max="3157" width="12.7109375" customWidth="1"/>
    <col min="3158" max="3158" width="14.7109375" customWidth="1"/>
    <col min="3159" max="3159" width="12.42578125" customWidth="1"/>
    <col min="3160" max="3160" width="12.28515625" customWidth="1"/>
    <col min="3161" max="3161" width="12.7109375" customWidth="1"/>
    <col min="3162" max="3162" width="12.42578125" customWidth="1"/>
    <col min="3163" max="3163" width="13.85546875" customWidth="1"/>
    <col min="3164" max="3164" width="20.28515625" customWidth="1"/>
    <col min="3165" max="3165" width="11.7109375" customWidth="1"/>
    <col min="3166" max="3166" width="17.42578125" customWidth="1"/>
    <col min="3172" max="3172" width="11.42578125" customWidth="1"/>
    <col min="3173" max="3173" width="16" customWidth="1"/>
    <col min="3174" max="3174" width="12" customWidth="1"/>
    <col min="3175" max="3176" width="11.28515625" bestFit="1" customWidth="1"/>
    <col min="3177" max="3177" width="9.140625" bestFit="1" customWidth="1"/>
    <col min="3178" max="3178" width="10.28515625" bestFit="1" customWidth="1"/>
    <col min="3181" max="3181" width="11.28515625" bestFit="1" customWidth="1"/>
    <col min="3184" max="3184" width="10.7109375" bestFit="1" customWidth="1"/>
    <col min="3412" max="3412" width="17.28515625" customWidth="1"/>
    <col min="3413" max="3413" width="12.7109375" customWidth="1"/>
    <col min="3414" max="3414" width="14.7109375" customWidth="1"/>
    <col min="3415" max="3415" width="12.42578125" customWidth="1"/>
    <col min="3416" max="3416" width="12.28515625" customWidth="1"/>
    <col min="3417" max="3417" width="12.7109375" customWidth="1"/>
    <col min="3418" max="3418" width="12.42578125" customWidth="1"/>
    <col min="3419" max="3419" width="13.85546875" customWidth="1"/>
    <col min="3420" max="3420" width="20.28515625" customWidth="1"/>
    <col min="3421" max="3421" width="11.7109375" customWidth="1"/>
    <col min="3422" max="3422" width="17.42578125" customWidth="1"/>
    <col min="3428" max="3428" width="11.42578125" customWidth="1"/>
    <col min="3429" max="3429" width="16" customWidth="1"/>
    <col min="3430" max="3430" width="12" customWidth="1"/>
    <col min="3431" max="3432" width="11.28515625" bestFit="1" customWidth="1"/>
    <col min="3433" max="3433" width="9.140625" bestFit="1" customWidth="1"/>
    <col min="3434" max="3434" width="10.28515625" bestFit="1" customWidth="1"/>
    <col min="3437" max="3437" width="11.28515625" bestFit="1" customWidth="1"/>
    <col min="3440" max="3440" width="10.7109375" bestFit="1" customWidth="1"/>
    <col min="3668" max="3668" width="17.28515625" customWidth="1"/>
    <col min="3669" max="3669" width="12.7109375" customWidth="1"/>
    <col min="3670" max="3670" width="14.7109375" customWidth="1"/>
    <col min="3671" max="3671" width="12.42578125" customWidth="1"/>
    <col min="3672" max="3672" width="12.28515625" customWidth="1"/>
    <col min="3673" max="3673" width="12.7109375" customWidth="1"/>
    <col min="3674" max="3674" width="12.42578125" customWidth="1"/>
    <col min="3675" max="3675" width="13.85546875" customWidth="1"/>
    <col min="3676" max="3676" width="20.28515625" customWidth="1"/>
    <col min="3677" max="3677" width="11.7109375" customWidth="1"/>
    <col min="3678" max="3678" width="17.42578125" customWidth="1"/>
    <col min="3684" max="3684" width="11.42578125" customWidth="1"/>
    <col min="3685" max="3685" width="16" customWidth="1"/>
    <col min="3686" max="3686" width="12" customWidth="1"/>
    <col min="3687" max="3688" width="11.28515625" bestFit="1" customWidth="1"/>
    <col min="3689" max="3689" width="9.140625" bestFit="1" customWidth="1"/>
    <col min="3690" max="3690" width="10.28515625" bestFit="1" customWidth="1"/>
    <col min="3693" max="3693" width="11.28515625" bestFit="1" customWidth="1"/>
    <col min="3696" max="3696" width="10.7109375" bestFit="1" customWidth="1"/>
    <col min="3924" max="3924" width="17.28515625" customWidth="1"/>
    <col min="3925" max="3925" width="12.7109375" customWidth="1"/>
    <col min="3926" max="3926" width="14.7109375" customWidth="1"/>
    <col min="3927" max="3927" width="12.42578125" customWidth="1"/>
    <col min="3928" max="3928" width="12.28515625" customWidth="1"/>
    <col min="3929" max="3929" width="12.7109375" customWidth="1"/>
    <col min="3930" max="3930" width="12.42578125" customWidth="1"/>
    <col min="3931" max="3931" width="13.85546875" customWidth="1"/>
    <col min="3932" max="3932" width="20.28515625" customWidth="1"/>
    <col min="3933" max="3933" width="11.7109375" customWidth="1"/>
    <col min="3934" max="3934" width="17.42578125" customWidth="1"/>
    <col min="3940" max="3940" width="11.42578125" customWidth="1"/>
    <col min="3941" max="3941" width="16" customWidth="1"/>
    <col min="3942" max="3942" width="12" customWidth="1"/>
    <col min="3943" max="3944" width="11.28515625" bestFit="1" customWidth="1"/>
    <col min="3945" max="3945" width="9.140625" bestFit="1" customWidth="1"/>
    <col min="3946" max="3946" width="10.28515625" bestFit="1" customWidth="1"/>
    <col min="3949" max="3949" width="11.28515625" bestFit="1" customWidth="1"/>
    <col min="3952" max="3952" width="10.7109375" bestFit="1" customWidth="1"/>
    <col min="4180" max="4180" width="17.28515625" customWidth="1"/>
    <col min="4181" max="4181" width="12.7109375" customWidth="1"/>
    <col min="4182" max="4182" width="14.7109375" customWidth="1"/>
    <col min="4183" max="4183" width="12.42578125" customWidth="1"/>
    <col min="4184" max="4184" width="12.28515625" customWidth="1"/>
    <col min="4185" max="4185" width="12.7109375" customWidth="1"/>
    <col min="4186" max="4186" width="12.42578125" customWidth="1"/>
    <col min="4187" max="4187" width="13.85546875" customWidth="1"/>
    <col min="4188" max="4188" width="20.28515625" customWidth="1"/>
    <col min="4189" max="4189" width="11.7109375" customWidth="1"/>
    <col min="4190" max="4190" width="17.42578125" customWidth="1"/>
    <col min="4196" max="4196" width="11.42578125" customWidth="1"/>
    <col min="4197" max="4197" width="16" customWidth="1"/>
    <col min="4198" max="4198" width="12" customWidth="1"/>
    <col min="4199" max="4200" width="11.28515625" bestFit="1" customWidth="1"/>
    <col min="4201" max="4201" width="9.140625" bestFit="1" customWidth="1"/>
    <col min="4202" max="4202" width="10.28515625" bestFit="1" customWidth="1"/>
    <col min="4205" max="4205" width="11.28515625" bestFit="1" customWidth="1"/>
    <col min="4208" max="4208" width="10.7109375" bestFit="1" customWidth="1"/>
    <col min="4436" max="4436" width="17.28515625" customWidth="1"/>
    <col min="4437" max="4437" width="12.7109375" customWidth="1"/>
    <col min="4438" max="4438" width="14.7109375" customWidth="1"/>
    <col min="4439" max="4439" width="12.42578125" customWidth="1"/>
    <col min="4440" max="4440" width="12.28515625" customWidth="1"/>
    <col min="4441" max="4441" width="12.7109375" customWidth="1"/>
    <col min="4442" max="4442" width="12.42578125" customWidth="1"/>
    <col min="4443" max="4443" width="13.85546875" customWidth="1"/>
    <col min="4444" max="4444" width="20.28515625" customWidth="1"/>
    <col min="4445" max="4445" width="11.7109375" customWidth="1"/>
    <col min="4446" max="4446" width="17.42578125" customWidth="1"/>
    <col min="4452" max="4452" width="11.42578125" customWidth="1"/>
    <col min="4453" max="4453" width="16" customWidth="1"/>
    <col min="4454" max="4454" width="12" customWidth="1"/>
    <col min="4455" max="4456" width="11.28515625" bestFit="1" customWidth="1"/>
    <col min="4457" max="4457" width="9.140625" bestFit="1" customWidth="1"/>
    <col min="4458" max="4458" width="10.28515625" bestFit="1" customWidth="1"/>
    <col min="4461" max="4461" width="11.28515625" bestFit="1" customWidth="1"/>
    <col min="4464" max="4464" width="10.7109375" bestFit="1" customWidth="1"/>
    <col min="4692" max="4692" width="17.28515625" customWidth="1"/>
    <col min="4693" max="4693" width="12.7109375" customWidth="1"/>
    <col min="4694" max="4694" width="14.7109375" customWidth="1"/>
    <col min="4695" max="4695" width="12.42578125" customWidth="1"/>
    <col min="4696" max="4696" width="12.28515625" customWidth="1"/>
    <col min="4697" max="4697" width="12.7109375" customWidth="1"/>
    <col min="4698" max="4698" width="12.42578125" customWidth="1"/>
    <col min="4699" max="4699" width="13.85546875" customWidth="1"/>
    <col min="4700" max="4700" width="20.28515625" customWidth="1"/>
    <col min="4701" max="4701" width="11.7109375" customWidth="1"/>
    <col min="4702" max="4702" width="17.42578125" customWidth="1"/>
    <col min="4708" max="4708" width="11.42578125" customWidth="1"/>
    <col min="4709" max="4709" width="16" customWidth="1"/>
    <col min="4710" max="4710" width="12" customWidth="1"/>
    <col min="4711" max="4712" width="11.28515625" bestFit="1" customWidth="1"/>
    <col min="4713" max="4713" width="9.140625" bestFit="1" customWidth="1"/>
    <col min="4714" max="4714" width="10.28515625" bestFit="1" customWidth="1"/>
    <col min="4717" max="4717" width="11.28515625" bestFit="1" customWidth="1"/>
    <col min="4720" max="4720" width="10.7109375" bestFit="1" customWidth="1"/>
    <col min="4948" max="4948" width="17.28515625" customWidth="1"/>
    <col min="4949" max="4949" width="12.7109375" customWidth="1"/>
    <col min="4950" max="4950" width="14.7109375" customWidth="1"/>
    <col min="4951" max="4951" width="12.42578125" customWidth="1"/>
    <col min="4952" max="4952" width="12.28515625" customWidth="1"/>
    <col min="4953" max="4953" width="12.7109375" customWidth="1"/>
    <col min="4954" max="4954" width="12.42578125" customWidth="1"/>
    <col min="4955" max="4955" width="13.85546875" customWidth="1"/>
    <col min="4956" max="4956" width="20.28515625" customWidth="1"/>
    <col min="4957" max="4957" width="11.7109375" customWidth="1"/>
    <col min="4958" max="4958" width="17.42578125" customWidth="1"/>
    <col min="4964" max="4964" width="11.42578125" customWidth="1"/>
    <col min="4965" max="4965" width="16" customWidth="1"/>
    <col min="4966" max="4966" width="12" customWidth="1"/>
    <col min="4967" max="4968" width="11.28515625" bestFit="1" customWidth="1"/>
    <col min="4969" max="4969" width="9.140625" bestFit="1" customWidth="1"/>
    <col min="4970" max="4970" width="10.28515625" bestFit="1" customWidth="1"/>
    <col min="4973" max="4973" width="11.28515625" bestFit="1" customWidth="1"/>
    <col min="4976" max="4976" width="10.7109375" bestFit="1" customWidth="1"/>
    <col min="5204" max="5204" width="17.28515625" customWidth="1"/>
    <col min="5205" max="5205" width="12.7109375" customWidth="1"/>
    <col min="5206" max="5206" width="14.7109375" customWidth="1"/>
    <col min="5207" max="5207" width="12.42578125" customWidth="1"/>
    <col min="5208" max="5208" width="12.28515625" customWidth="1"/>
    <col min="5209" max="5209" width="12.7109375" customWidth="1"/>
    <col min="5210" max="5210" width="12.42578125" customWidth="1"/>
    <col min="5211" max="5211" width="13.85546875" customWidth="1"/>
    <col min="5212" max="5212" width="20.28515625" customWidth="1"/>
    <col min="5213" max="5213" width="11.7109375" customWidth="1"/>
    <col min="5214" max="5214" width="17.42578125" customWidth="1"/>
    <col min="5220" max="5220" width="11.42578125" customWidth="1"/>
    <col min="5221" max="5221" width="16" customWidth="1"/>
    <col min="5222" max="5222" width="12" customWidth="1"/>
    <col min="5223" max="5224" width="11.28515625" bestFit="1" customWidth="1"/>
    <col min="5225" max="5225" width="9.140625" bestFit="1" customWidth="1"/>
    <col min="5226" max="5226" width="10.28515625" bestFit="1" customWidth="1"/>
    <col min="5229" max="5229" width="11.28515625" bestFit="1" customWidth="1"/>
    <col min="5232" max="5232" width="10.7109375" bestFit="1" customWidth="1"/>
    <col min="5460" max="5460" width="17.28515625" customWidth="1"/>
    <col min="5461" max="5461" width="12.7109375" customWidth="1"/>
    <col min="5462" max="5462" width="14.7109375" customWidth="1"/>
    <col min="5463" max="5463" width="12.42578125" customWidth="1"/>
    <col min="5464" max="5464" width="12.28515625" customWidth="1"/>
    <col min="5465" max="5465" width="12.7109375" customWidth="1"/>
    <col min="5466" max="5466" width="12.42578125" customWidth="1"/>
    <col min="5467" max="5467" width="13.85546875" customWidth="1"/>
    <col min="5468" max="5468" width="20.28515625" customWidth="1"/>
    <col min="5469" max="5469" width="11.7109375" customWidth="1"/>
    <col min="5470" max="5470" width="17.42578125" customWidth="1"/>
    <col min="5476" max="5476" width="11.42578125" customWidth="1"/>
    <col min="5477" max="5477" width="16" customWidth="1"/>
    <col min="5478" max="5478" width="12" customWidth="1"/>
    <col min="5479" max="5480" width="11.28515625" bestFit="1" customWidth="1"/>
    <col min="5481" max="5481" width="9.140625" bestFit="1" customWidth="1"/>
    <col min="5482" max="5482" width="10.28515625" bestFit="1" customWidth="1"/>
    <col min="5485" max="5485" width="11.28515625" bestFit="1" customWidth="1"/>
    <col min="5488" max="5488" width="10.7109375" bestFit="1" customWidth="1"/>
    <col min="5716" max="5716" width="17.28515625" customWidth="1"/>
    <col min="5717" max="5717" width="12.7109375" customWidth="1"/>
    <col min="5718" max="5718" width="14.7109375" customWidth="1"/>
    <col min="5719" max="5719" width="12.42578125" customWidth="1"/>
    <col min="5720" max="5720" width="12.28515625" customWidth="1"/>
    <col min="5721" max="5721" width="12.7109375" customWidth="1"/>
    <col min="5722" max="5722" width="12.42578125" customWidth="1"/>
    <col min="5723" max="5723" width="13.85546875" customWidth="1"/>
    <col min="5724" max="5724" width="20.28515625" customWidth="1"/>
    <col min="5725" max="5725" width="11.7109375" customWidth="1"/>
    <col min="5726" max="5726" width="17.42578125" customWidth="1"/>
    <col min="5732" max="5732" width="11.42578125" customWidth="1"/>
    <col min="5733" max="5733" width="16" customWidth="1"/>
    <col min="5734" max="5734" width="12" customWidth="1"/>
    <col min="5735" max="5736" width="11.28515625" bestFit="1" customWidth="1"/>
    <col min="5737" max="5737" width="9.140625" bestFit="1" customWidth="1"/>
    <col min="5738" max="5738" width="10.28515625" bestFit="1" customWidth="1"/>
    <col min="5741" max="5741" width="11.28515625" bestFit="1" customWidth="1"/>
    <col min="5744" max="5744" width="10.7109375" bestFit="1" customWidth="1"/>
    <col min="5972" max="5972" width="17.28515625" customWidth="1"/>
    <col min="5973" max="5973" width="12.7109375" customWidth="1"/>
    <col min="5974" max="5974" width="14.7109375" customWidth="1"/>
    <col min="5975" max="5975" width="12.42578125" customWidth="1"/>
    <col min="5976" max="5976" width="12.28515625" customWidth="1"/>
    <col min="5977" max="5977" width="12.7109375" customWidth="1"/>
    <col min="5978" max="5978" width="12.42578125" customWidth="1"/>
    <col min="5979" max="5979" width="13.85546875" customWidth="1"/>
    <col min="5980" max="5980" width="20.28515625" customWidth="1"/>
    <col min="5981" max="5981" width="11.7109375" customWidth="1"/>
    <col min="5982" max="5982" width="17.42578125" customWidth="1"/>
    <col min="5988" max="5988" width="11.42578125" customWidth="1"/>
    <col min="5989" max="5989" width="16" customWidth="1"/>
    <col min="5990" max="5990" width="12" customWidth="1"/>
    <col min="5991" max="5992" width="11.28515625" bestFit="1" customWidth="1"/>
    <col min="5993" max="5993" width="9.140625" bestFit="1" customWidth="1"/>
    <col min="5994" max="5994" width="10.28515625" bestFit="1" customWidth="1"/>
    <col min="5997" max="5997" width="11.28515625" bestFit="1" customWidth="1"/>
    <col min="6000" max="6000" width="10.7109375" bestFit="1" customWidth="1"/>
    <col min="6228" max="6228" width="17.28515625" customWidth="1"/>
    <col min="6229" max="6229" width="12.7109375" customWidth="1"/>
    <col min="6230" max="6230" width="14.7109375" customWidth="1"/>
    <col min="6231" max="6231" width="12.42578125" customWidth="1"/>
    <col min="6232" max="6232" width="12.28515625" customWidth="1"/>
    <col min="6233" max="6233" width="12.7109375" customWidth="1"/>
    <col min="6234" max="6234" width="12.42578125" customWidth="1"/>
    <col min="6235" max="6235" width="13.85546875" customWidth="1"/>
    <col min="6236" max="6236" width="20.28515625" customWidth="1"/>
    <col min="6237" max="6237" width="11.7109375" customWidth="1"/>
    <col min="6238" max="6238" width="17.42578125" customWidth="1"/>
    <col min="6244" max="6244" width="11.42578125" customWidth="1"/>
    <col min="6245" max="6245" width="16" customWidth="1"/>
    <col min="6246" max="6246" width="12" customWidth="1"/>
    <col min="6247" max="6248" width="11.28515625" bestFit="1" customWidth="1"/>
    <col min="6249" max="6249" width="9.140625" bestFit="1" customWidth="1"/>
    <col min="6250" max="6250" width="10.28515625" bestFit="1" customWidth="1"/>
    <col min="6253" max="6253" width="11.28515625" bestFit="1" customWidth="1"/>
    <col min="6256" max="6256" width="10.7109375" bestFit="1" customWidth="1"/>
    <col min="6484" max="6484" width="17.28515625" customWidth="1"/>
    <col min="6485" max="6485" width="12.7109375" customWidth="1"/>
    <col min="6486" max="6486" width="14.7109375" customWidth="1"/>
    <col min="6487" max="6487" width="12.42578125" customWidth="1"/>
    <col min="6488" max="6488" width="12.28515625" customWidth="1"/>
    <col min="6489" max="6489" width="12.7109375" customWidth="1"/>
    <col min="6490" max="6490" width="12.42578125" customWidth="1"/>
    <col min="6491" max="6491" width="13.85546875" customWidth="1"/>
    <col min="6492" max="6492" width="20.28515625" customWidth="1"/>
    <col min="6493" max="6493" width="11.7109375" customWidth="1"/>
    <col min="6494" max="6494" width="17.42578125" customWidth="1"/>
    <col min="6500" max="6500" width="11.42578125" customWidth="1"/>
    <col min="6501" max="6501" width="16" customWidth="1"/>
    <col min="6502" max="6502" width="12" customWidth="1"/>
    <col min="6503" max="6504" width="11.28515625" bestFit="1" customWidth="1"/>
    <col min="6505" max="6505" width="9.140625" bestFit="1" customWidth="1"/>
    <col min="6506" max="6506" width="10.28515625" bestFit="1" customWidth="1"/>
    <col min="6509" max="6509" width="11.28515625" bestFit="1" customWidth="1"/>
    <col min="6512" max="6512" width="10.7109375" bestFit="1" customWidth="1"/>
    <col min="6740" max="6740" width="17.28515625" customWidth="1"/>
    <col min="6741" max="6741" width="12.7109375" customWidth="1"/>
    <col min="6742" max="6742" width="14.7109375" customWidth="1"/>
    <col min="6743" max="6743" width="12.42578125" customWidth="1"/>
    <col min="6744" max="6744" width="12.28515625" customWidth="1"/>
    <col min="6745" max="6745" width="12.7109375" customWidth="1"/>
    <col min="6746" max="6746" width="12.42578125" customWidth="1"/>
    <col min="6747" max="6747" width="13.85546875" customWidth="1"/>
    <col min="6748" max="6748" width="20.28515625" customWidth="1"/>
    <col min="6749" max="6749" width="11.7109375" customWidth="1"/>
    <col min="6750" max="6750" width="17.42578125" customWidth="1"/>
    <col min="6756" max="6756" width="11.42578125" customWidth="1"/>
    <col min="6757" max="6757" width="16" customWidth="1"/>
    <col min="6758" max="6758" width="12" customWidth="1"/>
    <col min="6759" max="6760" width="11.28515625" bestFit="1" customWidth="1"/>
    <col min="6761" max="6761" width="9.140625" bestFit="1" customWidth="1"/>
    <col min="6762" max="6762" width="10.28515625" bestFit="1" customWidth="1"/>
    <col min="6765" max="6765" width="11.28515625" bestFit="1" customWidth="1"/>
    <col min="6768" max="6768" width="10.7109375" bestFit="1" customWidth="1"/>
    <col min="6996" max="6996" width="17.28515625" customWidth="1"/>
    <col min="6997" max="6997" width="12.7109375" customWidth="1"/>
    <col min="6998" max="6998" width="14.7109375" customWidth="1"/>
    <col min="6999" max="6999" width="12.42578125" customWidth="1"/>
    <col min="7000" max="7000" width="12.28515625" customWidth="1"/>
    <col min="7001" max="7001" width="12.7109375" customWidth="1"/>
    <col min="7002" max="7002" width="12.42578125" customWidth="1"/>
    <col min="7003" max="7003" width="13.85546875" customWidth="1"/>
    <col min="7004" max="7004" width="20.28515625" customWidth="1"/>
    <col min="7005" max="7005" width="11.7109375" customWidth="1"/>
    <col min="7006" max="7006" width="17.42578125" customWidth="1"/>
    <col min="7012" max="7012" width="11.42578125" customWidth="1"/>
    <col min="7013" max="7013" width="16" customWidth="1"/>
    <col min="7014" max="7014" width="12" customWidth="1"/>
    <col min="7015" max="7016" width="11.28515625" bestFit="1" customWidth="1"/>
    <col min="7017" max="7017" width="9.140625" bestFit="1" customWidth="1"/>
    <col min="7018" max="7018" width="10.28515625" bestFit="1" customWidth="1"/>
    <col min="7021" max="7021" width="11.28515625" bestFit="1" customWidth="1"/>
    <col min="7024" max="7024" width="10.7109375" bestFit="1" customWidth="1"/>
    <col min="7252" max="7252" width="17.28515625" customWidth="1"/>
    <col min="7253" max="7253" width="12.7109375" customWidth="1"/>
    <col min="7254" max="7254" width="14.7109375" customWidth="1"/>
    <col min="7255" max="7255" width="12.42578125" customWidth="1"/>
    <col min="7256" max="7256" width="12.28515625" customWidth="1"/>
    <col min="7257" max="7257" width="12.7109375" customWidth="1"/>
    <col min="7258" max="7258" width="12.42578125" customWidth="1"/>
    <col min="7259" max="7259" width="13.85546875" customWidth="1"/>
    <col min="7260" max="7260" width="20.28515625" customWidth="1"/>
    <col min="7261" max="7261" width="11.7109375" customWidth="1"/>
    <col min="7262" max="7262" width="17.42578125" customWidth="1"/>
    <col min="7268" max="7268" width="11.42578125" customWidth="1"/>
    <col min="7269" max="7269" width="16" customWidth="1"/>
    <col min="7270" max="7270" width="12" customWidth="1"/>
    <col min="7271" max="7272" width="11.28515625" bestFit="1" customWidth="1"/>
    <col min="7273" max="7273" width="9.140625" bestFit="1" customWidth="1"/>
    <col min="7274" max="7274" width="10.28515625" bestFit="1" customWidth="1"/>
    <col min="7277" max="7277" width="11.28515625" bestFit="1" customWidth="1"/>
    <col min="7280" max="7280" width="10.7109375" bestFit="1" customWidth="1"/>
    <col min="7508" max="7508" width="17.28515625" customWidth="1"/>
    <col min="7509" max="7509" width="12.7109375" customWidth="1"/>
    <col min="7510" max="7510" width="14.7109375" customWidth="1"/>
    <col min="7511" max="7511" width="12.42578125" customWidth="1"/>
    <col min="7512" max="7512" width="12.28515625" customWidth="1"/>
    <col min="7513" max="7513" width="12.7109375" customWidth="1"/>
    <col min="7514" max="7514" width="12.42578125" customWidth="1"/>
    <col min="7515" max="7515" width="13.85546875" customWidth="1"/>
    <col min="7516" max="7516" width="20.28515625" customWidth="1"/>
    <col min="7517" max="7517" width="11.7109375" customWidth="1"/>
    <col min="7518" max="7518" width="17.42578125" customWidth="1"/>
    <col min="7524" max="7524" width="11.42578125" customWidth="1"/>
    <col min="7525" max="7525" width="16" customWidth="1"/>
    <col min="7526" max="7526" width="12" customWidth="1"/>
    <col min="7527" max="7528" width="11.28515625" bestFit="1" customWidth="1"/>
    <col min="7529" max="7529" width="9.140625" bestFit="1" customWidth="1"/>
    <col min="7530" max="7530" width="10.28515625" bestFit="1" customWidth="1"/>
    <col min="7533" max="7533" width="11.28515625" bestFit="1" customWidth="1"/>
    <col min="7536" max="7536" width="10.7109375" bestFit="1" customWidth="1"/>
    <col min="7764" max="7764" width="17.28515625" customWidth="1"/>
    <col min="7765" max="7765" width="12.7109375" customWidth="1"/>
    <col min="7766" max="7766" width="14.7109375" customWidth="1"/>
    <col min="7767" max="7767" width="12.42578125" customWidth="1"/>
    <col min="7768" max="7768" width="12.28515625" customWidth="1"/>
    <col min="7769" max="7769" width="12.7109375" customWidth="1"/>
    <col min="7770" max="7770" width="12.42578125" customWidth="1"/>
    <col min="7771" max="7771" width="13.85546875" customWidth="1"/>
    <col min="7772" max="7772" width="20.28515625" customWidth="1"/>
    <col min="7773" max="7773" width="11.7109375" customWidth="1"/>
    <col min="7774" max="7774" width="17.42578125" customWidth="1"/>
    <col min="7780" max="7780" width="11.42578125" customWidth="1"/>
    <col min="7781" max="7781" width="16" customWidth="1"/>
    <col min="7782" max="7782" width="12" customWidth="1"/>
    <col min="7783" max="7784" width="11.28515625" bestFit="1" customWidth="1"/>
    <col min="7785" max="7785" width="9.140625" bestFit="1" customWidth="1"/>
    <col min="7786" max="7786" width="10.28515625" bestFit="1" customWidth="1"/>
    <col min="7789" max="7789" width="11.28515625" bestFit="1" customWidth="1"/>
    <col min="7792" max="7792" width="10.7109375" bestFit="1" customWidth="1"/>
    <col min="8020" max="8020" width="17.28515625" customWidth="1"/>
    <col min="8021" max="8021" width="12.7109375" customWidth="1"/>
    <col min="8022" max="8022" width="14.7109375" customWidth="1"/>
    <col min="8023" max="8023" width="12.42578125" customWidth="1"/>
    <col min="8024" max="8024" width="12.28515625" customWidth="1"/>
    <col min="8025" max="8025" width="12.7109375" customWidth="1"/>
    <col min="8026" max="8026" width="12.42578125" customWidth="1"/>
    <col min="8027" max="8027" width="13.85546875" customWidth="1"/>
    <col min="8028" max="8028" width="20.28515625" customWidth="1"/>
    <col min="8029" max="8029" width="11.7109375" customWidth="1"/>
    <col min="8030" max="8030" width="17.42578125" customWidth="1"/>
    <col min="8036" max="8036" width="11.42578125" customWidth="1"/>
    <col min="8037" max="8037" width="16" customWidth="1"/>
    <col min="8038" max="8038" width="12" customWidth="1"/>
    <col min="8039" max="8040" width="11.28515625" bestFit="1" customWidth="1"/>
    <col min="8041" max="8041" width="9.140625" bestFit="1" customWidth="1"/>
    <col min="8042" max="8042" width="10.28515625" bestFit="1" customWidth="1"/>
    <col min="8045" max="8045" width="11.28515625" bestFit="1" customWidth="1"/>
    <col min="8048" max="8048" width="10.7109375" bestFit="1" customWidth="1"/>
    <col min="8276" max="8276" width="17.28515625" customWidth="1"/>
    <col min="8277" max="8277" width="12.7109375" customWidth="1"/>
    <col min="8278" max="8278" width="14.7109375" customWidth="1"/>
    <col min="8279" max="8279" width="12.42578125" customWidth="1"/>
    <col min="8280" max="8280" width="12.28515625" customWidth="1"/>
    <col min="8281" max="8281" width="12.7109375" customWidth="1"/>
    <col min="8282" max="8282" width="12.42578125" customWidth="1"/>
    <col min="8283" max="8283" width="13.85546875" customWidth="1"/>
    <col min="8284" max="8284" width="20.28515625" customWidth="1"/>
    <col min="8285" max="8285" width="11.7109375" customWidth="1"/>
    <col min="8286" max="8286" width="17.42578125" customWidth="1"/>
    <col min="8292" max="8292" width="11.42578125" customWidth="1"/>
    <col min="8293" max="8293" width="16" customWidth="1"/>
    <col min="8294" max="8294" width="12" customWidth="1"/>
    <col min="8295" max="8296" width="11.28515625" bestFit="1" customWidth="1"/>
    <col min="8297" max="8297" width="9.140625" bestFit="1" customWidth="1"/>
    <col min="8298" max="8298" width="10.28515625" bestFit="1" customWidth="1"/>
    <col min="8301" max="8301" width="11.28515625" bestFit="1" customWidth="1"/>
    <col min="8304" max="8304" width="10.7109375" bestFit="1" customWidth="1"/>
    <col min="8532" max="8532" width="17.28515625" customWidth="1"/>
    <col min="8533" max="8533" width="12.7109375" customWidth="1"/>
    <col min="8534" max="8534" width="14.7109375" customWidth="1"/>
    <col min="8535" max="8535" width="12.42578125" customWidth="1"/>
    <col min="8536" max="8536" width="12.28515625" customWidth="1"/>
    <col min="8537" max="8537" width="12.7109375" customWidth="1"/>
    <col min="8538" max="8538" width="12.42578125" customWidth="1"/>
    <col min="8539" max="8539" width="13.85546875" customWidth="1"/>
    <col min="8540" max="8540" width="20.28515625" customWidth="1"/>
    <col min="8541" max="8541" width="11.7109375" customWidth="1"/>
    <col min="8542" max="8542" width="17.42578125" customWidth="1"/>
    <col min="8548" max="8548" width="11.42578125" customWidth="1"/>
    <col min="8549" max="8549" width="16" customWidth="1"/>
    <col min="8550" max="8550" width="12" customWidth="1"/>
    <col min="8551" max="8552" width="11.28515625" bestFit="1" customWidth="1"/>
    <col min="8553" max="8553" width="9.140625" bestFit="1" customWidth="1"/>
    <col min="8554" max="8554" width="10.28515625" bestFit="1" customWidth="1"/>
    <col min="8557" max="8557" width="11.28515625" bestFit="1" customWidth="1"/>
    <col min="8560" max="8560" width="10.7109375" bestFit="1" customWidth="1"/>
    <col min="8788" max="8788" width="17.28515625" customWidth="1"/>
    <col min="8789" max="8789" width="12.7109375" customWidth="1"/>
    <col min="8790" max="8790" width="14.7109375" customWidth="1"/>
    <col min="8791" max="8791" width="12.42578125" customWidth="1"/>
    <col min="8792" max="8792" width="12.28515625" customWidth="1"/>
    <col min="8793" max="8793" width="12.7109375" customWidth="1"/>
    <col min="8794" max="8794" width="12.42578125" customWidth="1"/>
    <col min="8795" max="8795" width="13.85546875" customWidth="1"/>
    <col min="8796" max="8796" width="20.28515625" customWidth="1"/>
    <col min="8797" max="8797" width="11.7109375" customWidth="1"/>
    <col min="8798" max="8798" width="17.42578125" customWidth="1"/>
    <col min="8804" max="8804" width="11.42578125" customWidth="1"/>
    <col min="8805" max="8805" width="16" customWidth="1"/>
    <col min="8806" max="8806" width="12" customWidth="1"/>
    <col min="8807" max="8808" width="11.28515625" bestFit="1" customWidth="1"/>
    <col min="8809" max="8809" width="9.140625" bestFit="1" customWidth="1"/>
    <col min="8810" max="8810" width="10.28515625" bestFit="1" customWidth="1"/>
    <col min="8813" max="8813" width="11.28515625" bestFit="1" customWidth="1"/>
    <col min="8816" max="8816" width="10.7109375" bestFit="1" customWidth="1"/>
    <col min="9044" max="9044" width="17.28515625" customWidth="1"/>
    <col min="9045" max="9045" width="12.7109375" customWidth="1"/>
    <col min="9046" max="9046" width="14.7109375" customWidth="1"/>
    <col min="9047" max="9047" width="12.42578125" customWidth="1"/>
    <col min="9048" max="9048" width="12.28515625" customWidth="1"/>
    <col min="9049" max="9049" width="12.7109375" customWidth="1"/>
    <col min="9050" max="9050" width="12.42578125" customWidth="1"/>
    <col min="9051" max="9051" width="13.85546875" customWidth="1"/>
    <col min="9052" max="9052" width="20.28515625" customWidth="1"/>
    <col min="9053" max="9053" width="11.7109375" customWidth="1"/>
    <col min="9054" max="9054" width="17.42578125" customWidth="1"/>
    <col min="9060" max="9060" width="11.42578125" customWidth="1"/>
    <col min="9061" max="9061" width="16" customWidth="1"/>
    <col min="9062" max="9062" width="12" customWidth="1"/>
    <col min="9063" max="9064" width="11.28515625" bestFit="1" customWidth="1"/>
    <col min="9065" max="9065" width="9.140625" bestFit="1" customWidth="1"/>
    <col min="9066" max="9066" width="10.28515625" bestFit="1" customWidth="1"/>
    <col min="9069" max="9069" width="11.28515625" bestFit="1" customWidth="1"/>
    <col min="9072" max="9072" width="10.7109375" bestFit="1" customWidth="1"/>
    <col min="9300" max="9300" width="17.28515625" customWidth="1"/>
    <col min="9301" max="9301" width="12.7109375" customWidth="1"/>
    <col min="9302" max="9302" width="14.7109375" customWidth="1"/>
    <col min="9303" max="9303" width="12.42578125" customWidth="1"/>
    <col min="9304" max="9304" width="12.28515625" customWidth="1"/>
    <col min="9305" max="9305" width="12.7109375" customWidth="1"/>
    <col min="9306" max="9306" width="12.42578125" customWidth="1"/>
    <col min="9307" max="9307" width="13.85546875" customWidth="1"/>
    <col min="9308" max="9308" width="20.28515625" customWidth="1"/>
    <col min="9309" max="9309" width="11.7109375" customWidth="1"/>
    <col min="9310" max="9310" width="17.42578125" customWidth="1"/>
    <col min="9316" max="9316" width="11.42578125" customWidth="1"/>
    <col min="9317" max="9317" width="16" customWidth="1"/>
    <col min="9318" max="9318" width="12" customWidth="1"/>
    <col min="9319" max="9320" width="11.28515625" bestFit="1" customWidth="1"/>
    <col min="9321" max="9321" width="9.140625" bestFit="1" customWidth="1"/>
    <col min="9322" max="9322" width="10.28515625" bestFit="1" customWidth="1"/>
    <col min="9325" max="9325" width="11.28515625" bestFit="1" customWidth="1"/>
    <col min="9328" max="9328" width="10.7109375" bestFit="1" customWidth="1"/>
    <col min="9556" max="9556" width="17.28515625" customWidth="1"/>
    <col min="9557" max="9557" width="12.7109375" customWidth="1"/>
    <col min="9558" max="9558" width="14.7109375" customWidth="1"/>
    <col min="9559" max="9559" width="12.42578125" customWidth="1"/>
    <col min="9560" max="9560" width="12.28515625" customWidth="1"/>
    <col min="9561" max="9561" width="12.7109375" customWidth="1"/>
    <col min="9562" max="9562" width="12.42578125" customWidth="1"/>
    <col min="9563" max="9563" width="13.85546875" customWidth="1"/>
    <col min="9564" max="9564" width="20.28515625" customWidth="1"/>
    <col min="9565" max="9565" width="11.7109375" customWidth="1"/>
    <col min="9566" max="9566" width="17.42578125" customWidth="1"/>
    <col min="9572" max="9572" width="11.42578125" customWidth="1"/>
    <col min="9573" max="9573" width="16" customWidth="1"/>
    <col min="9574" max="9574" width="12" customWidth="1"/>
    <col min="9575" max="9576" width="11.28515625" bestFit="1" customWidth="1"/>
    <col min="9577" max="9577" width="9.140625" bestFit="1" customWidth="1"/>
    <col min="9578" max="9578" width="10.28515625" bestFit="1" customWidth="1"/>
    <col min="9581" max="9581" width="11.28515625" bestFit="1" customWidth="1"/>
    <col min="9584" max="9584" width="10.7109375" bestFit="1" customWidth="1"/>
    <col min="9812" max="9812" width="17.28515625" customWidth="1"/>
    <col min="9813" max="9813" width="12.7109375" customWidth="1"/>
    <col min="9814" max="9814" width="14.7109375" customWidth="1"/>
    <col min="9815" max="9815" width="12.42578125" customWidth="1"/>
    <col min="9816" max="9816" width="12.28515625" customWidth="1"/>
    <col min="9817" max="9817" width="12.7109375" customWidth="1"/>
    <col min="9818" max="9818" width="12.42578125" customWidth="1"/>
    <col min="9819" max="9819" width="13.85546875" customWidth="1"/>
    <col min="9820" max="9820" width="20.28515625" customWidth="1"/>
    <col min="9821" max="9821" width="11.7109375" customWidth="1"/>
    <col min="9822" max="9822" width="17.42578125" customWidth="1"/>
    <col min="9828" max="9828" width="11.42578125" customWidth="1"/>
    <col min="9829" max="9829" width="16" customWidth="1"/>
    <col min="9830" max="9830" width="12" customWidth="1"/>
    <col min="9831" max="9832" width="11.28515625" bestFit="1" customWidth="1"/>
    <col min="9833" max="9833" width="9.140625" bestFit="1" customWidth="1"/>
    <col min="9834" max="9834" width="10.28515625" bestFit="1" customWidth="1"/>
    <col min="9837" max="9837" width="11.28515625" bestFit="1" customWidth="1"/>
    <col min="9840" max="9840" width="10.7109375" bestFit="1" customWidth="1"/>
    <col min="10068" max="10068" width="17.28515625" customWidth="1"/>
    <col min="10069" max="10069" width="12.7109375" customWidth="1"/>
    <col min="10070" max="10070" width="14.7109375" customWidth="1"/>
    <col min="10071" max="10071" width="12.42578125" customWidth="1"/>
    <col min="10072" max="10072" width="12.28515625" customWidth="1"/>
    <col min="10073" max="10073" width="12.7109375" customWidth="1"/>
    <col min="10074" max="10074" width="12.42578125" customWidth="1"/>
    <col min="10075" max="10075" width="13.85546875" customWidth="1"/>
    <col min="10076" max="10076" width="20.28515625" customWidth="1"/>
    <col min="10077" max="10077" width="11.7109375" customWidth="1"/>
    <col min="10078" max="10078" width="17.42578125" customWidth="1"/>
    <col min="10084" max="10084" width="11.42578125" customWidth="1"/>
    <col min="10085" max="10085" width="16" customWidth="1"/>
    <col min="10086" max="10086" width="12" customWidth="1"/>
    <col min="10087" max="10088" width="11.28515625" bestFit="1" customWidth="1"/>
    <col min="10089" max="10089" width="9.140625" bestFit="1" customWidth="1"/>
    <col min="10090" max="10090" width="10.28515625" bestFit="1" customWidth="1"/>
    <col min="10093" max="10093" width="11.28515625" bestFit="1" customWidth="1"/>
    <col min="10096" max="10096" width="10.7109375" bestFit="1" customWidth="1"/>
    <col min="10324" max="10324" width="17.28515625" customWidth="1"/>
    <col min="10325" max="10325" width="12.7109375" customWidth="1"/>
    <col min="10326" max="10326" width="14.7109375" customWidth="1"/>
    <col min="10327" max="10327" width="12.42578125" customWidth="1"/>
    <col min="10328" max="10328" width="12.28515625" customWidth="1"/>
    <col min="10329" max="10329" width="12.7109375" customWidth="1"/>
    <col min="10330" max="10330" width="12.42578125" customWidth="1"/>
    <col min="10331" max="10331" width="13.85546875" customWidth="1"/>
    <col min="10332" max="10332" width="20.28515625" customWidth="1"/>
    <col min="10333" max="10333" width="11.7109375" customWidth="1"/>
    <col min="10334" max="10334" width="17.42578125" customWidth="1"/>
    <col min="10340" max="10340" width="11.42578125" customWidth="1"/>
    <col min="10341" max="10341" width="16" customWidth="1"/>
    <col min="10342" max="10342" width="12" customWidth="1"/>
    <col min="10343" max="10344" width="11.28515625" bestFit="1" customWidth="1"/>
    <col min="10345" max="10345" width="9.140625" bestFit="1" customWidth="1"/>
    <col min="10346" max="10346" width="10.28515625" bestFit="1" customWidth="1"/>
    <col min="10349" max="10349" width="11.28515625" bestFit="1" customWidth="1"/>
    <col min="10352" max="10352" width="10.7109375" bestFit="1" customWidth="1"/>
    <col min="10580" max="10580" width="17.28515625" customWidth="1"/>
    <col min="10581" max="10581" width="12.7109375" customWidth="1"/>
    <col min="10582" max="10582" width="14.7109375" customWidth="1"/>
    <col min="10583" max="10583" width="12.42578125" customWidth="1"/>
    <col min="10584" max="10584" width="12.28515625" customWidth="1"/>
    <col min="10585" max="10585" width="12.7109375" customWidth="1"/>
    <col min="10586" max="10586" width="12.42578125" customWidth="1"/>
    <col min="10587" max="10587" width="13.85546875" customWidth="1"/>
    <col min="10588" max="10588" width="20.28515625" customWidth="1"/>
    <col min="10589" max="10589" width="11.7109375" customWidth="1"/>
    <col min="10590" max="10590" width="17.42578125" customWidth="1"/>
    <col min="10596" max="10596" width="11.42578125" customWidth="1"/>
    <col min="10597" max="10597" width="16" customWidth="1"/>
    <col min="10598" max="10598" width="12" customWidth="1"/>
    <col min="10599" max="10600" width="11.28515625" bestFit="1" customWidth="1"/>
    <col min="10601" max="10601" width="9.140625" bestFit="1" customWidth="1"/>
    <col min="10602" max="10602" width="10.28515625" bestFit="1" customWidth="1"/>
    <col min="10605" max="10605" width="11.28515625" bestFit="1" customWidth="1"/>
    <col min="10608" max="10608" width="10.7109375" bestFit="1" customWidth="1"/>
    <col min="10836" max="10836" width="17.28515625" customWidth="1"/>
    <col min="10837" max="10837" width="12.7109375" customWidth="1"/>
    <col min="10838" max="10838" width="14.7109375" customWidth="1"/>
    <col min="10839" max="10839" width="12.42578125" customWidth="1"/>
    <col min="10840" max="10840" width="12.28515625" customWidth="1"/>
    <col min="10841" max="10841" width="12.7109375" customWidth="1"/>
    <col min="10842" max="10842" width="12.42578125" customWidth="1"/>
    <col min="10843" max="10843" width="13.85546875" customWidth="1"/>
    <col min="10844" max="10844" width="20.28515625" customWidth="1"/>
    <col min="10845" max="10845" width="11.7109375" customWidth="1"/>
    <col min="10846" max="10846" width="17.42578125" customWidth="1"/>
    <col min="10852" max="10852" width="11.42578125" customWidth="1"/>
    <col min="10853" max="10853" width="16" customWidth="1"/>
    <col min="10854" max="10854" width="12" customWidth="1"/>
    <col min="10855" max="10856" width="11.28515625" bestFit="1" customWidth="1"/>
    <col min="10857" max="10857" width="9.140625" bestFit="1" customWidth="1"/>
    <col min="10858" max="10858" width="10.28515625" bestFit="1" customWidth="1"/>
    <col min="10861" max="10861" width="11.28515625" bestFit="1" customWidth="1"/>
    <col min="10864" max="10864" width="10.7109375" bestFit="1" customWidth="1"/>
    <col min="11092" max="11092" width="17.28515625" customWidth="1"/>
    <col min="11093" max="11093" width="12.7109375" customWidth="1"/>
    <col min="11094" max="11094" width="14.7109375" customWidth="1"/>
    <col min="11095" max="11095" width="12.42578125" customWidth="1"/>
    <col min="11096" max="11096" width="12.28515625" customWidth="1"/>
    <col min="11097" max="11097" width="12.7109375" customWidth="1"/>
    <col min="11098" max="11098" width="12.42578125" customWidth="1"/>
    <col min="11099" max="11099" width="13.85546875" customWidth="1"/>
    <col min="11100" max="11100" width="20.28515625" customWidth="1"/>
    <col min="11101" max="11101" width="11.7109375" customWidth="1"/>
    <col min="11102" max="11102" width="17.42578125" customWidth="1"/>
    <col min="11108" max="11108" width="11.42578125" customWidth="1"/>
    <col min="11109" max="11109" width="16" customWidth="1"/>
    <col min="11110" max="11110" width="12" customWidth="1"/>
    <col min="11111" max="11112" width="11.28515625" bestFit="1" customWidth="1"/>
    <col min="11113" max="11113" width="9.140625" bestFit="1" customWidth="1"/>
    <col min="11114" max="11114" width="10.28515625" bestFit="1" customWidth="1"/>
    <col min="11117" max="11117" width="11.28515625" bestFit="1" customWidth="1"/>
    <col min="11120" max="11120" width="10.7109375" bestFit="1" customWidth="1"/>
    <col min="11348" max="11348" width="17.28515625" customWidth="1"/>
    <col min="11349" max="11349" width="12.7109375" customWidth="1"/>
    <col min="11350" max="11350" width="14.7109375" customWidth="1"/>
    <col min="11351" max="11351" width="12.42578125" customWidth="1"/>
    <col min="11352" max="11352" width="12.28515625" customWidth="1"/>
    <col min="11353" max="11353" width="12.7109375" customWidth="1"/>
    <col min="11354" max="11354" width="12.42578125" customWidth="1"/>
    <col min="11355" max="11355" width="13.85546875" customWidth="1"/>
    <col min="11356" max="11356" width="20.28515625" customWidth="1"/>
    <col min="11357" max="11357" width="11.7109375" customWidth="1"/>
    <col min="11358" max="11358" width="17.42578125" customWidth="1"/>
    <col min="11364" max="11364" width="11.42578125" customWidth="1"/>
    <col min="11365" max="11365" width="16" customWidth="1"/>
    <col min="11366" max="11366" width="12" customWidth="1"/>
    <col min="11367" max="11368" width="11.28515625" bestFit="1" customWidth="1"/>
    <col min="11369" max="11369" width="9.140625" bestFit="1" customWidth="1"/>
    <col min="11370" max="11370" width="10.28515625" bestFit="1" customWidth="1"/>
    <col min="11373" max="11373" width="11.28515625" bestFit="1" customWidth="1"/>
    <col min="11376" max="11376" width="10.7109375" bestFit="1" customWidth="1"/>
    <col min="11604" max="11604" width="17.28515625" customWidth="1"/>
    <col min="11605" max="11605" width="12.7109375" customWidth="1"/>
    <col min="11606" max="11606" width="14.7109375" customWidth="1"/>
    <col min="11607" max="11607" width="12.42578125" customWidth="1"/>
    <col min="11608" max="11608" width="12.28515625" customWidth="1"/>
    <col min="11609" max="11609" width="12.7109375" customWidth="1"/>
    <col min="11610" max="11610" width="12.42578125" customWidth="1"/>
    <col min="11611" max="11611" width="13.85546875" customWidth="1"/>
    <col min="11612" max="11612" width="20.28515625" customWidth="1"/>
    <col min="11613" max="11613" width="11.7109375" customWidth="1"/>
    <col min="11614" max="11614" width="17.42578125" customWidth="1"/>
    <col min="11620" max="11620" width="11.42578125" customWidth="1"/>
    <col min="11621" max="11621" width="16" customWidth="1"/>
    <col min="11622" max="11622" width="12" customWidth="1"/>
    <col min="11623" max="11624" width="11.28515625" bestFit="1" customWidth="1"/>
    <col min="11625" max="11625" width="9.140625" bestFit="1" customWidth="1"/>
    <col min="11626" max="11626" width="10.28515625" bestFit="1" customWidth="1"/>
    <col min="11629" max="11629" width="11.28515625" bestFit="1" customWidth="1"/>
    <col min="11632" max="11632" width="10.7109375" bestFit="1" customWidth="1"/>
    <col min="11860" max="11860" width="17.28515625" customWidth="1"/>
    <col min="11861" max="11861" width="12.7109375" customWidth="1"/>
    <col min="11862" max="11862" width="14.7109375" customWidth="1"/>
    <col min="11863" max="11863" width="12.42578125" customWidth="1"/>
    <col min="11864" max="11864" width="12.28515625" customWidth="1"/>
    <col min="11865" max="11865" width="12.7109375" customWidth="1"/>
    <col min="11866" max="11866" width="12.42578125" customWidth="1"/>
    <col min="11867" max="11867" width="13.85546875" customWidth="1"/>
    <col min="11868" max="11868" width="20.28515625" customWidth="1"/>
    <col min="11869" max="11869" width="11.7109375" customWidth="1"/>
    <col min="11870" max="11870" width="17.42578125" customWidth="1"/>
    <col min="11876" max="11876" width="11.42578125" customWidth="1"/>
    <col min="11877" max="11877" width="16" customWidth="1"/>
    <col min="11878" max="11878" width="12" customWidth="1"/>
    <col min="11879" max="11880" width="11.28515625" bestFit="1" customWidth="1"/>
    <col min="11881" max="11881" width="9.140625" bestFit="1" customWidth="1"/>
    <col min="11882" max="11882" width="10.28515625" bestFit="1" customWidth="1"/>
    <col min="11885" max="11885" width="11.28515625" bestFit="1" customWidth="1"/>
    <col min="11888" max="11888" width="10.7109375" bestFit="1" customWidth="1"/>
    <col min="12116" max="12116" width="17.28515625" customWidth="1"/>
    <col min="12117" max="12117" width="12.7109375" customWidth="1"/>
    <col min="12118" max="12118" width="14.7109375" customWidth="1"/>
    <col min="12119" max="12119" width="12.42578125" customWidth="1"/>
    <col min="12120" max="12120" width="12.28515625" customWidth="1"/>
    <col min="12121" max="12121" width="12.7109375" customWidth="1"/>
    <col min="12122" max="12122" width="12.42578125" customWidth="1"/>
    <col min="12123" max="12123" width="13.85546875" customWidth="1"/>
    <col min="12124" max="12124" width="20.28515625" customWidth="1"/>
    <col min="12125" max="12125" width="11.7109375" customWidth="1"/>
    <col min="12126" max="12126" width="17.42578125" customWidth="1"/>
    <col min="12132" max="12132" width="11.42578125" customWidth="1"/>
    <col min="12133" max="12133" width="16" customWidth="1"/>
    <col min="12134" max="12134" width="12" customWidth="1"/>
    <col min="12135" max="12136" width="11.28515625" bestFit="1" customWidth="1"/>
    <col min="12137" max="12137" width="9.140625" bestFit="1" customWidth="1"/>
    <col min="12138" max="12138" width="10.28515625" bestFit="1" customWidth="1"/>
    <col min="12141" max="12141" width="11.28515625" bestFit="1" customWidth="1"/>
    <col min="12144" max="12144" width="10.7109375" bestFit="1" customWidth="1"/>
    <col min="12372" max="12372" width="17.28515625" customWidth="1"/>
    <col min="12373" max="12373" width="12.7109375" customWidth="1"/>
    <col min="12374" max="12374" width="14.7109375" customWidth="1"/>
    <col min="12375" max="12375" width="12.42578125" customWidth="1"/>
    <col min="12376" max="12376" width="12.28515625" customWidth="1"/>
    <col min="12377" max="12377" width="12.7109375" customWidth="1"/>
    <col min="12378" max="12378" width="12.42578125" customWidth="1"/>
    <col min="12379" max="12379" width="13.85546875" customWidth="1"/>
    <col min="12380" max="12380" width="20.28515625" customWidth="1"/>
    <col min="12381" max="12381" width="11.7109375" customWidth="1"/>
    <col min="12382" max="12382" width="17.42578125" customWidth="1"/>
    <col min="12388" max="12388" width="11.42578125" customWidth="1"/>
    <col min="12389" max="12389" width="16" customWidth="1"/>
    <col min="12390" max="12390" width="12" customWidth="1"/>
    <col min="12391" max="12392" width="11.28515625" bestFit="1" customWidth="1"/>
    <col min="12393" max="12393" width="9.140625" bestFit="1" customWidth="1"/>
    <col min="12394" max="12394" width="10.28515625" bestFit="1" customWidth="1"/>
    <col min="12397" max="12397" width="11.28515625" bestFit="1" customWidth="1"/>
    <col min="12400" max="12400" width="10.7109375" bestFit="1" customWidth="1"/>
    <col min="12628" max="12628" width="17.28515625" customWidth="1"/>
    <col min="12629" max="12629" width="12.7109375" customWidth="1"/>
    <col min="12630" max="12630" width="14.7109375" customWidth="1"/>
    <col min="12631" max="12631" width="12.42578125" customWidth="1"/>
    <col min="12632" max="12632" width="12.28515625" customWidth="1"/>
    <col min="12633" max="12633" width="12.7109375" customWidth="1"/>
    <col min="12634" max="12634" width="12.42578125" customWidth="1"/>
    <col min="12635" max="12635" width="13.85546875" customWidth="1"/>
    <col min="12636" max="12636" width="20.28515625" customWidth="1"/>
    <col min="12637" max="12637" width="11.7109375" customWidth="1"/>
    <col min="12638" max="12638" width="17.42578125" customWidth="1"/>
    <col min="12644" max="12644" width="11.42578125" customWidth="1"/>
    <col min="12645" max="12645" width="16" customWidth="1"/>
    <col min="12646" max="12646" width="12" customWidth="1"/>
    <col min="12647" max="12648" width="11.28515625" bestFit="1" customWidth="1"/>
    <col min="12649" max="12649" width="9.140625" bestFit="1" customWidth="1"/>
    <col min="12650" max="12650" width="10.28515625" bestFit="1" customWidth="1"/>
    <col min="12653" max="12653" width="11.28515625" bestFit="1" customWidth="1"/>
    <col min="12656" max="12656" width="10.7109375" bestFit="1" customWidth="1"/>
    <col min="12884" max="12884" width="17.28515625" customWidth="1"/>
    <col min="12885" max="12885" width="12.7109375" customWidth="1"/>
    <col min="12886" max="12886" width="14.7109375" customWidth="1"/>
    <col min="12887" max="12887" width="12.42578125" customWidth="1"/>
    <col min="12888" max="12888" width="12.28515625" customWidth="1"/>
    <col min="12889" max="12889" width="12.7109375" customWidth="1"/>
    <col min="12890" max="12890" width="12.42578125" customWidth="1"/>
    <col min="12891" max="12891" width="13.85546875" customWidth="1"/>
    <col min="12892" max="12892" width="20.28515625" customWidth="1"/>
    <col min="12893" max="12893" width="11.7109375" customWidth="1"/>
    <col min="12894" max="12894" width="17.42578125" customWidth="1"/>
    <col min="12900" max="12900" width="11.42578125" customWidth="1"/>
    <col min="12901" max="12901" width="16" customWidth="1"/>
    <col min="12902" max="12902" width="12" customWidth="1"/>
    <col min="12903" max="12904" width="11.28515625" bestFit="1" customWidth="1"/>
    <col min="12905" max="12905" width="9.140625" bestFit="1" customWidth="1"/>
    <col min="12906" max="12906" width="10.28515625" bestFit="1" customWidth="1"/>
    <col min="12909" max="12909" width="11.28515625" bestFit="1" customWidth="1"/>
    <col min="12912" max="12912" width="10.7109375" bestFit="1" customWidth="1"/>
    <col min="13140" max="13140" width="17.28515625" customWidth="1"/>
    <col min="13141" max="13141" width="12.7109375" customWidth="1"/>
    <col min="13142" max="13142" width="14.7109375" customWidth="1"/>
    <col min="13143" max="13143" width="12.42578125" customWidth="1"/>
    <col min="13144" max="13144" width="12.28515625" customWidth="1"/>
    <col min="13145" max="13145" width="12.7109375" customWidth="1"/>
    <col min="13146" max="13146" width="12.42578125" customWidth="1"/>
    <col min="13147" max="13147" width="13.85546875" customWidth="1"/>
    <col min="13148" max="13148" width="20.28515625" customWidth="1"/>
    <col min="13149" max="13149" width="11.7109375" customWidth="1"/>
    <col min="13150" max="13150" width="17.42578125" customWidth="1"/>
    <col min="13156" max="13156" width="11.42578125" customWidth="1"/>
    <col min="13157" max="13157" width="16" customWidth="1"/>
    <col min="13158" max="13158" width="12" customWidth="1"/>
    <col min="13159" max="13160" width="11.28515625" bestFit="1" customWidth="1"/>
    <col min="13161" max="13161" width="9.140625" bestFit="1" customWidth="1"/>
    <col min="13162" max="13162" width="10.28515625" bestFit="1" customWidth="1"/>
    <col min="13165" max="13165" width="11.28515625" bestFit="1" customWidth="1"/>
    <col min="13168" max="13168" width="10.7109375" bestFit="1" customWidth="1"/>
    <col min="13396" max="13396" width="17.28515625" customWidth="1"/>
    <col min="13397" max="13397" width="12.7109375" customWidth="1"/>
    <col min="13398" max="13398" width="14.7109375" customWidth="1"/>
    <col min="13399" max="13399" width="12.42578125" customWidth="1"/>
    <col min="13400" max="13400" width="12.28515625" customWidth="1"/>
    <col min="13401" max="13401" width="12.7109375" customWidth="1"/>
    <col min="13402" max="13402" width="12.42578125" customWidth="1"/>
    <col min="13403" max="13403" width="13.85546875" customWidth="1"/>
    <col min="13404" max="13404" width="20.28515625" customWidth="1"/>
    <col min="13405" max="13405" width="11.7109375" customWidth="1"/>
    <col min="13406" max="13406" width="17.42578125" customWidth="1"/>
    <col min="13412" max="13412" width="11.42578125" customWidth="1"/>
    <col min="13413" max="13413" width="16" customWidth="1"/>
    <col min="13414" max="13414" width="12" customWidth="1"/>
    <col min="13415" max="13416" width="11.28515625" bestFit="1" customWidth="1"/>
    <col min="13417" max="13417" width="9.140625" bestFit="1" customWidth="1"/>
    <col min="13418" max="13418" width="10.28515625" bestFit="1" customWidth="1"/>
    <col min="13421" max="13421" width="11.28515625" bestFit="1" customWidth="1"/>
    <col min="13424" max="13424" width="10.7109375" bestFit="1" customWidth="1"/>
    <col min="13652" max="13652" width="17.28515625" customWidth="1"/>
    <col min="13653" max="13653" width="12.7109375" customWidth="1"/>
    <col min="13654" max="13654" width="14.7109375" customWidth="1"/>
    <col min="13655" max="13655" width="12.42578125" customWidth="1"/>
    <col min="13656" max="13656" width="12.28515625" customWidth="1"/>
    <col min="13657" max="13657" width="12.7109375" customWidth="1"/>
    <col min="13658" max="13658" width="12.42578125" customWidth="1"/>
    <col min="13659" max="13659" width="13.85546875" customWidth="1"/>
    <col min="13660" max="13660" width="20.28515625" customWidth="1"/>
    <col min="13661" max="13661" width="11.7109375" customWidth="1"/>
    <col min="13662" max="13662" width="17.42578125" customWidth="1"/>
    <col min="13668" max="13668" width="11.42578125" customWidth="1"/>
    <col min="13669" max="13669" width="16" customWidth="1"/>
    <col min="13670" max="13670" width="12" customWidth="1"/>
    <col min="13671" max="13672" width="11.28515625" bestFit="1" customWidth="1"/>
    <col min="13673" max="13673" width="9.140625" bestFit="1" customWidth="1"/>
    <col min="13674" max="13674" width="10.28515625" bestFit="1" customWidth="1"/>
    <col min="13677" max="13677" width="11.28515625" bestFit="1" customWidth="1"/>
    <col min="13680" max="13680" width="10.7109375" bestFit="1" customWidth="1"/>
    <col min="13908" max="13908" width="17.28515625" customWidth="1"/>
    <col min="13909" max="13909" width="12.7109375" customWidth="1"/>
    <col min="13910" max="13910" width="14.7109375" customWidth="1"/>
    <col min="13911" max="13911" width="12.42578125" customWidth="1"/>
    <col min="13912" max="13912" width="12.28515625" customWidth="1"/>
    <col min="13913" max="13913" width="12.7109375" customWidth="1"/>
    <col min="13914" max="13914" width="12.42578125" customWidth="1"/>
    <col min="13915" max="13915" width="13.85546875" customWidth="1"/>
    <col min="13916" max="13916" width="20.28515625" customWidth="1"/>
    <col min="13917" max="13917" width="11.7109375" customWidth="1"/>
    <col min="13918" max="13918" width="17.42578125" customWidth="1"/>
    <col min="13924" max="13924" width="11.42578125" customWidth="1"/>
    <col min="13925" max="13925" width="16" customWidth="1"/>
    <col min="13926" max="13926" width="12" customWidth="1"/>
    <col min="13927" max="13928" width="11.28515625" bestFit="1" customWidth="1"/>
    <col min="13929" max="13929" width="9.140625" bestFit="1" customWidth="1"/>
    <col min="13930" max="13930" width="10.28515625" bestFit="1" customWidth="1"/>
    <col min="13933" max="13933" width="11.28515625" bestFit="1" customWidth="1"/>
    <col min="13936" max="13936" width="10.7109375" bestFit="1" customWidth="1"/>
    <col min="14164" max="14164" width="17.28515625" customWidth="1"/>
    <col min="14165" max="14165" width="12.7109375" customWidth="1"/>
    <col min="14166" max="14166" width="14.7109375" customWidth="1"/>
    <col min="14167" max="14167" width="12.42578125" customWidth="1"/>
    <col min="14168" max="14168" width="12.28515625" customWidth="1"/>
    <col min="14169" max="14169" width="12.7109375" customWidth="1"/>
    <col min="14170" max="14170" width="12.42578125" customWidth="1"/>
    <col min="14171" max="14171" width="13.85546875" customWidth="1"/>
    <col min="14172" max="14172" width="20.28515625" customWidth="1"/>
    <col min="14173" max="14173" width="11.7109375" customWidth="1"/>
    <col min="14174" max="14174" width="17.42578125" customWidth="1"/>
    <col min="14180" max="14180" width="11.42578125" customWidth="1"/>
    <col min="14181" max="14181" width="16" customWidth="1"/>
    <col min="14182" max="14182" width="12" customWidth="1"/>
    <col min="14183" max="14184" width="11.28515625" bestFit="1" customWidth="1"/>
    <col min="14185" max="14185" width="9.140625" bestFit="1" customWidth="1"/>
    <col min="14186" max="14186" width="10.28515625" bestFit="1" customWidth="1"/>
    <col min="14189" max="14189" width="11.28515625" bestFit="1" customWidth="1"/>
    <col min="14192" max="14192" width="10.7109375" bestFit="1" customWidth="1"/>
    <col min="14420" max="14420" width="17.28515625" customWidth="1"/>
    <col min="14421" max="14421" width="12.7109375" customWidth="1"/>
    <col min="14422" max="14422" width="14.7109375" customWidth="1"/>
    <col min="14423" max="14423" width="12.42578125" customWidth="1"/>
    <col min="14424" max="14424" width="12.28515625" customWidth="1"/>
    <col min="14425" max="14425" width="12.7109375" customWidth="1"/>
    <col min="14426" max="14426" width="12.42578125" customWidth="1"/>
    <col min="14427" max="14427" width="13.85546875" customWidth="1"/>
    <col min="14428" max="14428" width="20.28515625" customWidth="1"/>
    <col min="14429" max="14429" width="11.7109375" customWidth="1"/>
    <col min="14430" max="14430" width="17.42578125" customWidth="1"/>
    <col min="14436" max="14436" width="11.42578125" customWidth="1"/>
    <col min="14437" max="14437" width="16" customWidth="1"/>
    <col min="14438" max="14438" width="12" customWidth="1"/>
    <col min="14439" max="14440" width="11.28515625" bestFit="1" customWidth="1"/>
    <col min="14441" max="14441" width="9.140625" bestFit="1" customWidth="1"/>
    <col min="14442" max="14442" width="10.28515625" bestFit="1" customWidth="1"/>
    <col min="14445" max="14445" width="11.28515625" bestFit="1" customWidth="1"/>
    <col min="14448" max="14448" width="10.7109375" bestFit="1" customWidth="1"/>
    <col min="14676" max="14676" width="17.28515625" customWidth="1"/>
    <col min="14677" max="14677" width="12.7109375" customWidth="1"/>
    <col min="14678" max="14678" width="14.7109375" customWidth="1"/>
    <col min="14679" max="14679" width="12.42578125" customWidth="1"/>
    <col min="14680" max="14680" width="12.28515625" customWidth="1"/>
    <col min="14681" max="14681" width="12.7109375" customWidth="1"/>
    <col min="14682" max="14682" width="12.42578125" customWidth="1"/>
    <col min="14683" max="14683" width="13.85546875" customWidth="1"/>
    <col min="14684" max="14684" width="20.28515625" customWidth="1"/>
    <col min="14685" max="14685" width="11.7109375" customWidth="1"/>
    <col min="14686" max="14686" width="17.42578125" customWidth="1"/>
    <col min="14692" max="14692" width="11.42578125" customWidth="1"/>
    <col min="14693" max="14693" width="16" customWidth="1"/>
    <col min="14694" max="14694" width="12" customWidth="1"/>
    <col min="14695" max="14696" width="11.28515625" bestFit="1" customWidth="1"/>
    <col min="14697" max="14697" width="9.140625" bestFit="1" customWidth="1"/>
    <col min="14698" max="14698" width="10.28515625" bestFit="1" customWidth="1"/>
    <col min="14701" max="14701" width="11.28515625" bestFit="1" customWidth="1"/>
    <col min="14704" max="14704" width="10.7109375" bestFit="1" customWidth="1"/>
    <col min="14932" max="14932" width="17.28515625" customWidth="1"/>
    <col min="14933" max="14933" width="12.7109375" customWidth="1"/>
    <col min="14934" max="14934" width="14.7109375" customWidth="1"/>
    <col min="14935" max="14935" width="12.42578125" customWidth="1"/>
    <col min="14936" max="14936" width="12.28515625" customWidth="1"/>
    <col min="14937" max="14937" width="12.7109375" customWidth="1"/>
    <col min="14938" max="14938" width="12.42578125" customWidth="1"/>
    <col min="14939" max="14939" width="13.85546875" customWidth="1"/>
    <col min="14940" max="14940" width="20.28515625" customWidth="1"/>
    <col min="14941" max="14941" width="11.7109375" customWidth="1"/>
    <col min="14942" max="14942" width="17.42578125" customWidth="1"/>
    <col min="14948" max="14948" width="11.42578125" customWidth="1"/>
    <col min="14949" max="14949" width="16" customWidth="1"/>
    <col min="14950" max="14950" width="12" customWidth="1"/>
    <col min="14951" max="14952" width="11.28515625" bestFit="1" customWidth="1"/>
    <col min="14953" max="14953" width="9.140625" bestFit="1" customWidth="1"/>
    <col min="14954" max="14954" width="10.28515625" bestFit="1" customWidth="1"/>
    <col min="14957" max="14957" width="11.28515625" bestFit="1" customWidth="1"/>
    <col min="14960" max="14960" width="10.7109375" bestFit="1" customWidth="1"/>
    <col min="15188" max="15188" width="17.28515625" customWidth="1"/>
    <col min="15189" max="15189" width="12.7109375" customWidth="1"/>
    <col min="15190" max="15190" width="14.7109375" customWidth="1"/>
    <col min="15191" max="15191" width="12.42578125" customWidth="1"/>
    <col min="15192" max="15192" width="12.28515625" customWidth="1"/>
    <col min="15193" max="15193" width="12.7109375" customWidth="1"/>
    <col min="15194" max="15194" width="12.42578125" customWidth="1"/>
    <col min="15195" max="15195" width="13.85546875" customWidth="1"/>
    <col min="15196" max="15196" width="20.28515625" customWidth="1"/>
    <col min="15197" max="15197" width="11.7109375" customWidth="1"/>
    <col min="15198" max="15198" width="17.42578125" customWidth="1"/>
    <col min="15204" max="15204" width="11.42578125" customWidth="1"/>
    <col min="15205" max="15205" width="16" customWidth="1"/>
    <col min="15206" max="15206" width="12" customWidth="1"/>
    <col min="15207" max="15208" width="11.28515625" bestFit="1" customWidth="1"/>
    <col min="15209" max="15209" width="9.140625" bestFit="1" customWidth="1"/>
    <col min="15210" max="15210" width="10.28515625" bestFit="1" customWidth="1"/>
    <col min="15213" max="15213" width="11.28515625" bestFit="1" customWidth="1"/>
    <col min="15216" max="15216" width="10.7109375" bestFit="1" customWidth="1"/>
    <col min="15444" max="15444" width="17.28515625" customWidth="1"/>
    <col min="15445" max="15445" width="12.7109375" customWidth="1"/>
    <col min="15446" max="15446" width="14.7109375" customWidth="1"/>
    <col min="15447" max="15447" width="12.42578125" customWidth="1"/>
    <col min="15448" max="15448" width="12.28515625" customWidth="1"/>
    <col min="15449" max="15449" width="12.7109375" customWidth="1"/>
    <col min="15450" max="15450" width="12.42578125" customWidth="1"/>
    <col min="15451" max="15451" width="13.85546875" customWidth="1"/>
    <col min="15452" max="15452" width="20.28515625" customWidth="1"/>
    <col min="15453" max="15453" width="11.7109375" customWidth="1"/>
    <col min="15454" max="15454" width="17.42578125" customWidth="1"/>
    <col min="15460" max="15460" width="11.42578125" customWidth="1"/>
    <col min="15461" max="15461" width="16" customWidth="1"/>
    <col min="15462" max="15462" width="12" customWidth="1"/>
    <col min="15463" max="15464" width="11.28515625" bestFit="1" customWidth="1"/>
    <col min="15465" max="15465" width="9.140625" bestFit="1" customWidth="1"/>
    <col min="15466" max="15466" width="10.28515625" bestFit="1" customWidth="1"/>
    <col min="15469" max="15469" width="11.28515625" bestFit="1" customWidth="1"/>
    <col min="15472" max="15472" width="10.7109375" bestFit="1" customWidth="1"/>
    <col min="15700" max="15700" width="17.28515625" customWidth="1"/>
    <col min="15701" max="15701" width="12.7109375" customWidth="1"/>
    <col min="15702" max="15702" width="14.7109375" customWidth="1"/>
    <col min="15703" max="15703" width="12.42578125" customWidth="1"/>
    <col min="15704" max="15704" width="12.28515625" customWidth="1"/>
    <col min="15705" max="15705" width="12.7109375" customWidth="1"/>
    <col min="15706" max="15706" width="12.42578125" customWidth="1"/>
    <col min="15707" max="15707" width="13.85546875" customWidth="1"/>
    <col min="15708" max="15708" width="20.28515625" customWidth="1"/>
    <col min="15709" max="15709" width="11.7109375" customWidth="1"/>
    <col min="15710" max="15710" width="17.42578125" customWidth="1"/>
    <col min="15716" max="15716" width="11.42578125" customWidth="1"/>
    <col min="15717" max="15717" width="16" customWidth="1"/>
    <col min="15718" max="15718" width="12" customWidth="1"/>
    <col min="15719" max="15720" width="11.28515625" bestFit="1" customWidth="1"/>
    <col min="15721" max="15721" width="9.140625" bestFit="1" customWidth="1"/>
    <col min="15722" max="15722" width="10.28515625" bestFit="1" customWidth="1"/>
    <col min="15725" max="15725" width="11.28515625" bestFit="1" customWidth="1"/>
    <col min="15728" max="15728" width="10.7109375" bestFit="1" customWidth="1"/>
    <col min="15956" max="15956" width="17.28515625" customWidth="1"/>
    <col min="15957" max="15957" width="12.7109375" customWidth="1"/>
    <col min="15958" max="15958" width="14.7109375" customWidth="1"/>
    <col min="15959" max="15959" width="12.42578125" customWidth="1"/>
    <col min="15960" max="15960" width="12.28515625" customWidth="1"/>
    <col min="15961" max="15961" width="12.7109375" customWidth="1"/>
    <col min="15962" max="15962" width="12.42578125" customWidth="1"/>
    <col min="15963" max="15963" width="13.85546875" customWidth="1"/>
    <col min="15964" max="15964" width="20.28515625" customWidth="1"/>
    <col min="15965" max="15965" width="11.7109375" customWidth="1"/>
    <col min="15966" max="15966" width="17.42578125" customWidth="1"/>
    <col min="15972" max="15972" width="11.42578125" customWidth="1"/>
    <col min="15973" max="15973" width="16" customWidth="1"/>
    <col min="15974" max="15974" width="12" customWidth="1"/>
    <col min="15975" max="15976" width="11.28515625" bestFit="1" customWidth="1"/>
    <col min="15977" max="15977" width="9.140625" bestFit="1" customWidth="1"/>
    <col min="15978" max="15978" width="10.28515625" bestFit="1" customWidth="1"/>
    <col min="15981" max="15981" width="11.28515625" bestFit="1" customWidth="1"/>
    <col min="15984" max="15984" width="10.7109375" bestFit="1" customWidth="1"/>
    <col min="16212" max="16212" width="17.28515625" customWidth="1"/>
    <col min="16213" max="16213" width="12.7109375" customWidth="1"/>
    <col min="16214" max="16214" width="14.7109375" customWidth="1"/>
    <col min="16215" max="16215" width="12.42578125" customWidth="1"/>
    <col min="16216" max="16216" width="12.28515625" customWidth="1"/>
    <col min="16217" max="16217" width="12.7109375" customWidth="1"/>
    <col min="16218" max="16218" width="12.42578125" customWidth="1"/>
    <col min="16219" max="16219" width="13.85546875" customWidth="1"/>
    <col min="16220" max="16220" width="20.28515625" customWidth="1"/>
    <col min="16221" max="16221" width="11.7109375" customWidth="1"/>
    <col min="16222" max="16222" width="17.42578125" customWidth="1"/>
    <col min="16228" max="16228" width="11.42578125" customWidth="1"/>
    <col min="16229" max="16229" width="16" customWidth="1"/>
    <col min="16230" max="16230" width="12" customWidth="1"/>
    <col min="16231" max="16232" width="11.28515625" bestFit="1" customWidth="1"/>
    <col min="16233" max="16233" width="9.140625" bestFit="1" customWidth="1"/>
    <col min="16234" max="16234" width="10.28515625" bestFit="1" customWidth="1"/>
    <col min="16237" max="16237" width="11.28515625" bestFit="1" customWidth="1"/>
    <col min="16240" max="16240" width="10.7109375" bestFit="1" customWidth="1"/>
  </cols>
  <sheetData>
    <row r="1" spans="1:113" ht="15.75" hidden="1" thickBot="1">
      <c r="A1" s="27" t="s">
        <v>151</v>
      </c>
      <c r="B1" s="28"/>
      <c r="C1" s="28"/>
      <c r="D1" s="28"/>
      <c r="E1" s="28"/>
      <c r="F1" s="28"/>
      <c r="G1" s="28"/>
      <c r="H1" s="28"/>
      <c r="I1" s="28"/>
      <c r="J1" s="28"/>
      <c r="K1" s="28"/>
      <c r="L1" s="195"/>
      <c r="M1" s="196"/>
      <c r="N1" s="28"/>
      <c r="O1" s="28"/>
      <c r="P1" s="28"/>
      <c r="Q1" s="28"/>
      <c r="R1" s="28"/>
      <c r="S1" s="28"/>
      <c r="T1" s="195"/>
      <c r="U1" s="196"/>
      <c r="V1" s="28"/>
      <c r="W1" s="28"/>
      <c r="X1" s="28"/>
      <c r="Y1" s="28"/>
      <c r="Z1" s="28"/>
      <c r="AA1" s="28"/>
      <c r="AB1" s="28"/>
      <c r="AC1" s="28"/>
      <c r="AD1" s="28"/>
      <c r="AE1" s="28"/>
      <c r="AF1" s="28"/>
      <c r="AG1" s="28"/>
      <c r="AH1" s="28"/>
      <c r="AI1" s="28"/>
      <c r="AJ1" s="28"/>
      <c r="AK1" s="28"/>
      <c r="AL1" s="29"/>
      <c r="AM1" s="30"/>
      <c r="AN1" s="30"/>
      <c r="AO1" s="30"/>
      <c r="AP1" s="66" t="s">
        <v>0</v>
      </c>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row>
    <row r="2" spans="1:113" ht="15.75" thickBot="1">
      <c r="A2" s="44"/>
      <c r="B2" s="343" t="s">
        <v>1</v>
      </c>
      <c r="C2" s="356"/>
      <c r="D2" s="356"/>
      <c r="E2" s="357"/>
      <c r="F2" s="340" t="s">
        <v>2</v>
      </c>
      <c r="G2" s="340"/>
      <c r="H2" s="340"/>
      <c r="I2" s="340"/>
      <c r="J2" s="341" t="s">
        <v>3</v>
      </c>
      <c r="K2" s="340"/>
      <c r="L2" s="340"/>
      <c r="M2" s="342"/>
      <c r="N2" s="340" t="s">
        <v>4</v>
      </c>
      <c r="O2" s="340"/>
      <c r="P2" s="340"/>
      <c r="Q2" s="340"/>
      <c r="R2" s="341" t="s">
        <v>5</v>
      </c>
      <c r="S2" s="340"/>
      <c r="T2" s="340"/>
      <c r="U2" s="342"/>
      <c r="V2" s="335" t="s">
        <v>6</v>
      </c>
      <c r="W2" s="335"/>
      <c r="X2" s="335"/>
      <c r="Y2" s="335"/>
      <c r="Z2" s="341" t="s">
        <v>7</v>
      </c>
      <c r="AA2" s="340"/>
      <c r="AB2" s="340"/>
      <c r="AC2" s="342"/>
      <c r="AD2" s="334" t="s">
        <v>8</v>
      </c>
      <c r="AE2" s="335"/>
      <c r="AF2" s="335"/>
      <c r="AG2" s="336"/>
      <c r="AH2" s="335" t="s">
        <v>9</v>
      </c>
      <c r="AI2" s="335"/>
      <c r="AJ2" s="335"/>
      <c r="AK2" s="335"/>
      <c r="AL2" s="341" t="s">
        <v>10</v>
      </c>
      <c r="AM2" s="340"/>
      <c r="AN2" s="340"/>
      <c r="AO2" s="342"/>
      <c r="AP2" s="335" t="s">
        <v>11</v>
      </c>
      <c r="AQ2" s="335"/>
      <c r="AR2" s="335"/>
      <c r="AS2" s="335"/>
      <c r="AT2" s="334" t="s">
        <v>12</v>
      </c>
      <c r="AU2" s="335"/>
      <c r="AV2" s="335"/>
      <c r="AW2" s="336"/>
      <c r="AX2" s="340" t="s">
        <v>13</v>
      </c>
      <c r="AY2" s="340"/>
      <c r="AZ2" s="340"/>
      <c r="BA2" s="340"/>
      <c r="BB2" s="334" t="s">
        <v>14</v>
      </c>
      <c r="BC2" s="335"/>
      <c r="BD2" s="335"/>
      <c r="BE2" s="336"/>
      <c r="BF2" s="340" t="s">
        <v>15</v>
      </c>
      <c r="BG2" s="340"/>
      <c r="BH2" s="340"/>
      <c r="BI2" s="340"/>
      <c r="BJ2" s="334" t="s">
        <v>16</v>
      </c>
      <c r="BK2" s="335"/>
      <c r="BL2" s="335"/>
      <c r="BM2" s="336"/>
      <c r="BN2" s="335" t="s">
        <v>17</v>
      </c>
      <c r="BO2" s="335"/>
      <c r="BP2" s="335"/>
      <c r="BQ2" s="335"/>
      <c r="BR2" s="341" t="s">
        <v>18</v>
      </c>
      <c r="BS2" s="340"/>
      <c r="BT2" s="340"/>
      <c r="BU2" s="342"/>
      <c r="BV2" s="335" t="s">
        <v>19</v>
      </c>
      <c r="BW2" s="335"/>
      <c r="BX2" s="335"/>
      <c r="BY2" s="335"/>
      <c r="BZ2" s="341" t="s">
        <v>20</v>
      </c>
      <c r="CA2" s="340"/>
      <c r="CB2" s="340"/>
      <c r="CC2" s="342"/>
      <c r="CD2" s="340" t="s">
        <v>21</v>
      </c>
      <c r="CE2" s="340"/>
      <c r="CF2" s="340"/>
      <c r="CG2" s="340"/>
      <c r="CH2" s="334" t="s">
        <v>22</v>
      </c>
      <c r="CI2" s="335"/>
      <c r="CJ2" s="335"/>
      <c r="CK2" s="336"/>
      <c r="CL2" s="340" t="s">
        <v>23</v>
      </c>
      <c r="CM2" s="340"/>
      <c r="CN2" s="340"/>
      <c r="CO2" s="340"/>
      <c r="CP2" s="341" t="s">
        <v>24</v>
      </c>
      <c r="CQ2" s="340"/>
      <c r="CR2" s="340"/>
      <c r="CS2" s="342"/>
      <c r="CT2" s="335" t="s">
        <v>152</v>
      </c>
      <c r="CU2" s="335"/>
      <c r="CV2" s="335"/>
      <c r="CW2" s="335"/>
      <c r="CX2" s="343" t="s">
        <v>25</v>
      </c>
      <c r="CY2" s="340"/>
      <c r="CZ2" s="340"/>
      <c r="DA2" s="342"/>
      <c r="DB2" s="340" t="s">
        <v>26</v>
      </c>
      <c r="DC2" s="340"/>
      <c r="DD2" s="340"/>
      <c r="DE2" s="340"/>
      <c r="DF2" s="334" t="s">
        <v>27</v>
      </c>
      <c r="DG2" s="335"/>
      <c r="DH2" s="335"/>
      <c r="DI2" s="336"/>
    </row>
    <row r="3" spans="1:113">
      <c r="A3" s="45"/>
      <c r="B3" s="189" t="s">
        <v>73</v>
      </c>
      <c r="C3" s="235" t="s">
        <v>123</v>
      </c>
      <c r="D3" s="191" t="s">
        <v>208</v>
      </c>
      <c r="E3" s="235" t="s">
        <v>72</v>
      </c>
      <c r="F3" s="191" t="s">
        <v>73</v>
      </c>
      <c r="G3" s="235" t="s">
        <v>123</v>
      </c>
      <c r="H3" s="191" t="s">
        <v>208</v>
      </c>
      <c r="I3" s="189" t="s">
        <v>72</v>
      </c>
      <c r="J3" s="189" t="s">
        <v>73</v>
      </c>
      <c r="K3" s="189" t="s">
        <v>123</v>
      </c>
      <c r="L3" s="191" t="s">
        <v>208</v>
      </c>
      <c r="M3" s="236" t="s">
        <v>72</v>
      </c>
      <c r="N3" s="191" t="s">
        <v>73</v>
      </c>
      <c r="O3" s="235" t="s">
        <v>123</v>
      </c>
      <c r="P3" s="191" t="s">
        <v>208</v>
      </c>
      <c r="Q3" s="189" t="s">
        <v>72</v>
      </c>
      <c r="R3" s="189" t="s">
        <v>73</v>
      </c>
      <c r="S3" s="189" t="s">
        <v>123</v>
      </c>
      <c r="T3" s="237" t="s">
        <v>208</v>
      </c>
      <c r="U3" s="236" t="s">
        <v>72</v>
      </c>
      <c r="V3" s="191" t="s">
        <v>73</v>
      </c>
      <c r="W3" s="235" t="s">
        <v>123</v>
      </c>
      <c r="X3" s="191" t="s">
        <v>208</v>
      </c>
      <c r="Y3" s="189" t="s">
        <v>72</v>
      </c>
      <c r="Z3" s="189" t="s">
        <v>73</v>
      </c>
      <c r="AA3" s="235" t="s">
        <v>123</v>
      </c>
      <c r="AB3" s="191" t="s">
        <v>208</v>
      </c>
      <c r="AC3" s="235" t="s">
        <v>72</v>
      </c>
      <c r="AD3" s="189" t="s">
        <v>73</v>
      </c>
      <c r="AE3" s="235" t="s">
        <v>123</v>
      </c>
      <c r="AF3" s="191" t="s">
        <v>208</v>
      </c>
      <c r="AG3" s="235" t="s">
        <v>72</v>
      </c>
      <c r="AH3" s="191" t="s">
        <v>73</v>
      </c>
      <c r="AI3" s="235" t="s">
        <v>123</v>
      </c>
      <c r="AJ3" s="191" t="s">
        <v>208</v>
      </c>
      <c r="AK3" s="189" t="s">
        <v>72</v>
      </c>
      <c r="AL3" s="189" t="s">
        <v>73</v>
      </c>
      <c r="AM3" s="235" t="s">
        <v>123</v>
      </c>
      <c r="AN3" s="191" t="s">
        <v>208</v>
      </c>
      <c r="AO3" s="235" t="s">
        <v>72</v>
      </c>
      <c r="AP3" s="191" t="s">
        <v>73</v>
      </c>
      <c r="AQ3" s="235" t="s">
        <v>123</v>
      </c>
      <c r="AR3" s="191" t="s">
        <v>208</v>
      </c>
      <c r="AS3" s="189" t="s">
        <v>72</v>
      </c>
      <c r="AT3" s="189" t="s">
        <v>73</v>
      </c>
      <c r="AU3" s="235" t="s">
        <v>123</v>
      </c>
      <c r="AV3" s="191" t="s">
        <v>208</v>
      </c>
      <c r="AW3" s="235" t="s">
        <v>72</v>
      </c>
      <c r="AX3" s="191" t="s">
        <v>73</v>
      </c>
      <c r="AY3" s="235" t="s">
        <v>123</v>
      </c>
      <c r="AZ3" s="191" t="s">
        <v>208</v>
      </c>
      <c r="BA3" s="189" t="s">
        <v>72</v>
      </c>
      <c r="BB3" s="189" t="s">
        <v>73</v>
      </c>
      <c r="BC3" s="235" t="s">
        <v>123</v>
      </c>
      <c r="BD3" s="191" t="s">
        <v>208</v>
      </c>
      <c r="BE3" s="235" t="s">
        <v>72</v>
      </c>
      <c r="BF3" s="191" t="s">
        <v>73</v>
      </c>
      <c r="BG3" s="235" t="s">
        <v>123</v>
      </c>
      <c r="BH3" s="191" t="s">
        <v>208</v>
      </c>
      <c r="BI3" s="189" t="s">
        <v>72</v>
      </c>
      <c r="BJ3" s="235" t="s">
        <v>73</v>
      </c>
      <c r="BK3" s="235" t="s">
        <v>123</v>
      </c>
      <c r="BL3" s="191" t="s">
        <v>208</v>
      </c>
      <c r="BM3" s="235" t="s">
        <v>72</v>
      </c>
      <c r="BN3" s="191" t="s">
        <v>73</v>
      </c>
      <c r="BO3" s="235" t="s">
        <v>123</v>
      </c>
      <c r="BP3" s="191" t="s">
        <v>208</v>
      </c>
      <c r="BQ3" s="189" t="s">
        <v>72</v>
      </c>
      <c r="BR3" s="189" t="s">
        <v>73</v>
      </c>
      <c r="BS3" s="235" t="s">
        <v>123</v>
      </c>
      <c r="BT3" s="191" t="s">
        <v>208</v>
      </c>
      <c r="BU3" s="235" t="s">
        <v>72</v>
      </c>
      <c r="BV3" s="191" t="s">
        <v>73</v>
      </c>
      <c r="BW3" s="235" t="s">
        <v>123</v>
      </c>
      <c r="BX3" s="191" t="s">
        <v>208</v>
      </c>
      <c r="BY3" s="189" t="s">
        <v>72</v>
      </c>
      <c r="BZ3" s="189" t="s">
        <v>73</v>
      </c>
      <c r="CA3" s="235" t="s">
        <v>123</v>
      </c>
      <c r="CB3" s="191" t="s">
        <v>208</v>
      </c>
      <c r="CC3" s="235" t="s">
        <v>72</v>
      </c>
      <c r="CD3" s="191" t="s">
        <v>73</v>
      </c>
      <c r="CE3" s="235" t="s">
        <v>123</v>
      </c>
      <c r="CF3" s="191" t="s">
        <v>208</v>
      </c>
      <c r="CG3" s="189" t="s">
        <v>72</v>
      </c>
      <c r="CH3" s="189" t="s">
        <v>73</v>
      </c>
      <c r="CI3" s="235" t="s">
        <v>123</v>
      </c>
      <c r="CJ3" s="191" t="s">
        <v>208</v>
      </c>
      <c r="CK3" s="235" t="s">
        <v>72</v>
      </c>
      <c r="CL3" s="191" t="s">
        <v>73</v>
      </c>
      <c r="CM3" s="235" t="s">
        <v>123</v>
      </c>
      <c r="CN3" s="191" t="s">
        <v>208</v>
      </c>
      <c r="CO3" s="189" t="s">
        <v>72</v>
      </c>
      <c r="CP3" s="189" t="s">
        <v>73</v>
      </c>
      <c r="CQ3" s="235" t="s">
        <v>123</v>
      </c>
      <c r="CR3" s="191" t="s">
        <v>208</v>
      </c>
      <c r="CS3" s="235" t="s">
        <v>72</v>
      </c>
      <c r="CT3" s="191" t="s">
        <v>73</v>
      </c>
      <c r="CU3" s="235" t="s">
        <v>123</v>
      </c>
      <c r="CV3" s="191" t="s">
        <v>208</v>
      </c>
      <c r="CW3" s="189" t="s">
        <v>72</v>
      </c>
      <c r="CX3" s="235" t="s">
        <v>73</v>
      </c>
      <c r="CY3" s="190" t="s">
        <v>123</v>
      </c>
      <c r="CZ3" s="191" t="s">
        <v>208</v>
      </c>
      <c r="DA3" s="235" t="s">
        <v>72</v>
      </c>
      <c r="DB3" s="191" t="s">
        <v>73</v>
      </c>
      <c r="DC3" s="235" t="s">
        <v>123</v>
      </c>
      <c r="DD3" s="191" t="s">
        <v>208</v>
      </c>
      <c r="DE3" s="189" t="s">
        <v>72</v>
      </c>
      <c r="DF3" s="189" t="s">
        <v>73</v>
      </c>
      <c r="DG3" s="235" t="s">
        <v>123</v>
      </c>
      <c r="DH3" s="191" t="s">
        <v>208</v>
      </c>
      <c r="DI3" s="235" t="s">
        <v>72</v>
      </c>
    </row>
    <row r="4" spans="1:113" s="245" customFormat="1" ht="112.5">
      <c r="A4" s="239" t="s">
        <v>168</v>
      </c>
      <c r="B4" s="192">
        <v>10</v>
      </c>
      <c r="C4" s="192" t="s">
        <v>34</v>
      </c>
      <c r="D4" s="192">
        <v>10</v>
      </c>
      <c r="E4" s="192">
        <v>15</v>
      </c>
      <c r="F4" s="192">
        <v>15</v>
      </c>
      <c r="G4" s="192" t="s">
        <v>34</v>
      </c>
      <c r="H4" s="192">
        <v>15</v>
      </c>
      <c r="I4" s="192">
        <v>15</v>
      </c>
      <c r="J4" s="192">
        <v>20</v>
      </c>
      <c r="K4" s="192" t="s">
        <v>34</v>
      </c>
      <c r="L4" s="192">
        <v>20</v>
      </c>
      <c r="M4" s="192">
        <v>20</v>
      </c>
      <c r="N4" s="192">
        <v>23</v>
      </c>
      <c r="O4" s="192" t="s">
        <v>34</v>
      </c>
      <c r="P4" s="192">
        <v>23</v>
      </c>
      <c r="Q4" s="192">
        <v>23</v>
      </c>
      <c r="R4" s="192">
        <v>15</v>
      </c>
      <c r="S4" s="192" t="s">
        <v>34</v>
      </c>
      <c r="T4" s="192">
        <v>15</v>
      </c>
      <c r="U4" s="192">
        <v>15</v>
      </c>
      <c r="V4" s="192">
        <v>16</v>
      </c>
      <c r="W4" s="192" t="s">
        <v>34</v>
      </c>
      <c r="X4" s="192">
        <v>16</v>
      </c>
      <c r="Y4" s="192">
        <v>16</v>
      </c>
      <c r="Z4" s="240" t="s">
        <v>169</v>
      </c>
      <c r="AA4" s="192" t="s">
        <v>34</v>
      </c>
      <c r="AB4" s="240" t="s">
        <v>169</v>
      </c>
      <c r="AC4" s="240" t="s">
        <v>170</v>
      </c>
      <c r="AD4" s="192">
        <v>16</v>
      </c>
      <c r="AE4" s="192" t="s">
        <v>34</v>
      </c>
      <c r="AF4" s="192">
        <v>16</v>
      </c>
      <c r="AG4" s="192">
        <v>16</v>
      </c>
      <c r="AH4" s="240" t="s">
        <v>171</v>
      </c>
      <c r="AI4" s="192" t="s">
        <v>34</v>
      </c>
      <c r="AJ4" s="240" t="s">
        <v>171</v>
      </c>
      <c r="AK4" s="240" t="s">
        <v>171</v>
      </c>
      <c r="AL4" s="240" t="s">
        <v>172</v>
      </c>
      <c r="AM4" s="192" t="s">
        <v>34</v>
      </c>
      <c r="AN4" s="240" t="s">
        <v>172</v>
      </c>
      <c r="AO4" s="241" t="s">
        <v>193</v>
      </c>
      <c r="AP4" s="240" t="s">
        <v>173</v>
      </c>
      <c r="AQ4" s="192" t="s">
        <v>34</v>
      </c>
      <c r="AR4" s="240" t="s">
        <v>173</v>
      </c>
      <c r="AS4" s="240" t="s">
        <v>194</v>
      </c>
      <c r="AT4" s="240" t="s">
        <v>174</v>
      </c>
      <c r="AU4" s="192" t="s">
        <v>34</v>
      </c>
      <c r="AV4" s="240" t="s">
        <v>174</v>
      </c>
      <c r="AW4" s="241" t="s">
        <v>199</v>
      </c>
      <c r="AX4" s="240" t="s">
        <v>175</v>
      </c>
      <c r="AY4" s="192" t="s">
        <v>34</v>
      </c>
      <c r="AZ4" s="240" t="s">
        <v>175</v>
      </c>
      <c r="BA4" s="240" t="s">
        <v>175</v>
      </c>
      <c r="BB4" s="242" t="s">
        <v>176</v>
      </c>
      <c r="BC4" s="192" t="s">
        <v>34</v>
      </c>
      <c r="BD4" s="242" t="s">
        <v>176</v>
      </c>
      <c r="BE4" s="242" t="s">
        <v>176</v>
      </c>
      <c r="BF4" s="192">
        <v>42</v>
      </c>
      <c r="BG4" s="192" t="s">
        <v>34</v>
      </c>
      <c r="BH4" s="192">
        <v>42</v>
      </c>
      <c r="BI4" s="192">
        <v>42</v>
      </c>
      <c r="BJ4" s="240" t="s">
        <v>177</v>
      </c>
      <c r="BK4" s="192" t="s">
        <v>34</v>
      </c>
      <c r="BL4" s="240" t="s">
        <v>177</v>
      </c>
      <c r="BM4" s="240" t="s">
        <v>177</v>
      </c>
      <c r="BN4" s="240" t="s">
        <v>178</v>
      </c>
      <c r="BO4" s="192" t="s">
        <v>34</v>
      </c>
      <c r="BP4" s="240" t="s">
        <v>178</v>
      </c>
      <c r="BQ4" s="241" t="s">
        <v>200</v>
      </c>
      <c r="BR4" s="192">
        <v>21.5</v>
      </c>
      <c r="BS4" s="192" t="s">
        <v>34</v>
      </c>
      <c r="BT4" s="192">
        <v>21.5</v>
      </c>
      <c r="BU4" s="243" t="s">
        <v>201</v>
      </c>
      <c r="BV4" s="240" t="s">
        <v>179</v>
      </c>
      <c r="BW4" s="192" t="s">
        <v>34</v>
      </c>
      <c r="BX4" s="240" t="s">
        <v>179</v>
      </c>
      <c r="BY4" s="241" t="s">
        <v>202</v>
      </c>
      <c r="BZ4" s="240" t="s">
        <v>180</v>
      </c>
      <c r="CA4" s="192" t="s">
        <v>34</v>
      </c>
      <c r="CB4" s="240" t="s">
        <v>180</v>
      </c>
      <c r="CC4" s="241" t="s">
        <v>204</v>
      </c>
      <c r="CD4" s="240" t="s">
        <v>181</v>
      </c>
      <c r="CE4" s="192" t="s">
        <v>34</v>
      </c>
      <c r="CF4" s="240" t="s">
        <v>181</v>
      </c>
      <c r="CG4" s="243" t="s">
        <v>203</v>
      </c>
      <c r="CH4" s="240" t="s">
        <v>182</v>
      </c>
      <c r="CI4" s="192" t="s">
        <v>34</v>
      </c>
      <c r="CJ4" s="240" t="s">
        <v>182</v>
      </c>
      <c r="CK4" s="240" t="s">
        <v>195</v>
      </c>
      <c r="CL4" s="240" t="s">
        <v>183</v>
      </c>
      <c r="CM4" s="192" t="s">
        <v>34</v>
      </c>
      <c r="CN4" s="240" t="s">
        <v>183</v>
      </c>
      <c r="CO4" s="240" t="s">
        <v>183</v>
      </c>
      <c r="CP4" s="240" t="s">
        <v>184</v>
      </c>
      <c r="CQ4" s="192" t="s">
        <v>34</v>
      </c>
      <c r="CR4" s="240" t="s">
        <v>184</v>
      </c>
      <c r="CS4" s="243" t="s">
        <v>205</v>
      </c>
      <c r="CT4" s="240" t="s">
        <v>185</v>
      </c>
      <c r="CU4" s="192" t="s">
        <v>34</v>
      </c>
      <c r="CV4" s="240" t="s">
        <v>185</v>
      </c>
      <c r="CW4" s="240" t="s">
        <v>185</v>
      </c>
      <c r="CX4" s="244" t="s">
        <v>186</v>
      </c>
      <c r="CY4" s="192" t="s">
        <v>34</v>
      </c>
      <c r="CZ4" s="244" t="s">
        <v>186</v>
      </c>
      <c r="DA4" s="244" t="s">
        <v>186</v>
      </c>
      <c r="DB4" s="240" t="s">
        <v>187</v>
      </c>
      <c r="DC4" s="192" t="s">
        <v>34</v>
      </c>
      <c r="DD4" s="240" t="s">
        <v>187</v>
      </c>
      <c r="DE4" s="240" t="s">
        <v>187</v>
      </c>
      <c r="DF4" s="240" t="s">
        <v>188</v>
      </c>
      <c r="DG4" s="192" t="s">
        <v>34</v>
      </c>
      <c r="DH4" s="240" t="s">
        <v>188</v>
      </c>
      <c r="DI4" s="240" t="s">
        <v>188</v>
      </c>
    </row>
    <row r="5" spans="1:113" s="245" customFormat="1">
      <c r="A5" s="239" t="s">
        <v>189</v>
      </c>
      <c r="B5" s="192">
        <f>B8</f>
        <v>12.900000000000002</v>
      </c>
      <c r="C5" s="192">
        <f t="shared" ref="C5:AV5" si="0">C8</f>
        <v>18.099999999999998</v>
      </c>
      <c r="D5" s="192">
        <f t="shared" si="0"/>
        <v>31</v>
      </c>
      <c r="E5" s="192">
        <f t="shared" si="0"/>
        <v>25.8</v>
      </c>
      <c r="F5" s="192">
        <f t="shared" si="0"/>
        <v>11</v>
      </c>
      <c r="G5" s="192">
        <f t="shared" si="0"/>
        <v>34</v>
      </c>
      <c r="H5" s="192">
        <f t="shared" si="0"/>
        <v>45</v>
      </c>
      <c r="I5" s="192">
        <f t="shared" si="0"/>
        <v>42.7</v>
      </c>
      <c r="J5" s="192">
        <f t="shared" si="0"/>
        <v>1.6</v>
      </c>
      <c r="K5" s="192">
        <f t="shared" si="0"/>
        <v>33.799999999999997</v>
      </c>
      <c r="L5" s="192">
        <f t="shared" si="0"/>
        <v>35.4</v>
      </c>
      <c r="M5" s="192">
        <f t="shared" si="0"/>
        <v>33</v>
      </c>
      <c r="N5" s="192">
        <f t="shared" si="0"/>
        <v>10.5</v>
      </c>
      <c r="O5" s="192">
        <f t="shared" si="0"/>
        <v>23.589999999999996</v>
      </c>
      <c r="P5" s="192">
        <f t="shared" si="0"/>
        <v>34.089999999999996</v>
      </c>
      <c r="Q5" s="192">
        <f t="shared" si="0"/>
        <v>31.060000000000002</v>
      </c>
      <c r="R5" s="192">
        <f t="shared" si="0"/>
        <v>12</v>
      </c>
      <c r="S5" s="192">
        <f t="shared" si="0"/>
        <v>34.200000000000003</v>
      </c>
      <c r="T5" s="192">
        <f t="shared" si="0"/>
        <v>46.2</v>
      </c>
      <c r="U5" s="192">
        <f t="shared" si="0"/>
        <v>37.5</v>
      </c>
      <c r="V5" s="192">
        <f t="shared" si="0"/>
        <v>18.5</v>
      </c>
      <c r="W5" s="192">
        <f t="shared" si="0"/>
        <v>27</v>
      </c>
      <c r="X5" s="192">
        <f t="shared" si="0"/>
        <v>45.5</v>
      </c>
      <c r="Y5" s="192">
        <f t="shared" si="0"/>
        <v>27</v>
      </c>
      <c r="Z5" s="192">
        <f t="shared" si="0"/>
        <v>22.709999999999997</v>
      </c>
      <c r="AA5" s="192">
        <f t="shared" si="0"/>
        <v>16.259999999999998</v>
      </c>
      <c r="AB5" s="192">
        <f t="shared" si="0"/>
        <v>38.97</v>
      </c>
      <c r="AC5" s="192">
        <f t="shared" si="0"/>
        <v>29.02</v>
      </c>
      <c r="AD5" s="192">
        <f t="shared" si="0"/>
        <v>16.5</v>
      </c>
      <c r="AE5" s="192">
        <f t="shared" si="0"/>
        <v>22.85</v>
      </c>
      <c r="AF5" s="192">
        <f t="shared" si="0"/>
        <v>39.35</v>
      </c>
      <c r="AG5" s="192">
        <f t="shared" si="0"/>
        <v>16</v>
      </c>
      <c r="AH5" s="192">
        <f t="shared" si="0"/>
        <v>22.1</v>
      </c>
      <c r="AI5" s="192">
        <f t="shared" si="0"/>
        <v>16.100000000000001</v>
      </c>
      <c r="AJ5" s="192">
        <f t="shared" si="0"/>
        <v>38.200000000000003</v>
      </c>
      <c r="AK5" s="192">
        <f t="shared" si="0"/>
        <v>38.200000000000003</v>
      </c>
      <c r="AL5" s="192">
        <f t="shared" si="0"/>
        <v>13.4</v>
      </c>
      <c r="AM5" s="192">
        <f t="shared" si="0"/>
        <v>35.200000000000003</v>
      </c>
      <c r="AN5" s="192">
        <f t="shared" si="0"/>
        <v>48.6</v>
      </c>
      <c r="AO5" s="192">
        <f t="shared" si="0"/>
        <v>47.15</v>
      </c>
      <c r="AP5" s="192">
        <f t="shared" si="0"/>
        <v>17.07</v>
      </c>
      <c r="AQ5" s="192">
        <f t="shared" si="0"/>
        <v>21.730000000000004</v>
      </c>
      <c r="AR5" s="192">
        <f t="shared" si="0"/>
        <v>38.800000000000004</v>
      </c>
      <c r="AS5" s="192">
        <f t="shared" si="0"/>
        <v>26.15</v>
      </c>
      <c r="AT5" s="192">
        <f t="shared" si="0"/>
        <v>13.069999999999999</v>
      </c>
      <c r="AU5" s="192">
        <f t="shared" si="0"/>
        <v>34.700000000000003</v>
      </c>
      <c r="AV5" s="192">
        <f t="shared" si="0"/>
        <v>47.77</v>
      </c>
      <c r="AW5" s="192">
        <f>(22+14.16)/2</f>
        <v>18.079999999999998</v>
      </c>
      <c r="AX5" s="192">
        <f>AX8</f>
        <v>15</v>
      </c>
      <c r="AY5" s="192">
        <f t="shared" ref="AY5:BJ5" si="1">AY8</f>
        <v>17.2</v>
      </c>
      <c r="AZ5" s="192">
        <f t="shared" si="1"/>
        <v>32.200000000000003</v>
      </c>
      <c r="BA5" s="192">
        <f t="shared" si="1"/>
        <v>36.700000000000003</v>
      </c>
      <c r="BB5" s="192">
        <f t="shared" si="1"/>
        <v>7.8</v>
      </c>
      <c r="BC5" s="192">
        <f t="shared" si="1"/>
        <v>9.5</v>
      </c>
      <c r="BD5" s="192">
        <f t="shared" si="1"/>
        <v>17.3</v>
      </c>
      <c r="BE5" s="192">
        <f t="shared" si="1"/>
        <v>17.600000000000001</v>
      </c>
      <c r="BF5" s="193">
        <v>1136</v>
      </c>
      <c r="BG5" s="193">
        <f>(10000+8000)/2</f>
        <v>9000</v>
      </c>
      <c r="BH5" s="193">
        <f>BG5+BF5</f>
        <v>10136</v>
      </c>
      <c r="BI5" s="192" t="s">
        <v>148</v>
      </c>
      <c r="BJ5" s="192">
        <f t="shared" si="1"/>
        <v>8.4500000000000011</v>
      </c>
      <c r="BK5" s="192">
        <v>20.88</v>
      </c>
      <c r="BL5" s="192">
        <f>BK5+BJ5</f>
        <v>29.33</v>
      </c>
      <c r="BM5" s="192">
        <f>BM8</f>
        <v>23.7</v>
      </c>
      <c r="BN5" s="192">
        <v>12.45</v>
      </c>
      <c r="BO5" s="192">
        <v>40.04</v>
      </c>
      <c r="BP5" s="192">
        <f>BO5+BN5</f>
        <v>52.489999999999995</v>
      </c>
      <c r="BQ5" s="192">
        <f>(20.6+28.8)/2</f>
        <v>24.700000000000003</v>
      </c>
      <c r="BR5" s="192">
        <f>BR8</f>
        <v>20.229999999999997</v>
      </c>
      <c r="BS5" s="192">
        <f t="shared" ref="BS5:BU5" si="2">BS8</f>
        <v>19.329999999999998</v>
      </c>
      <c r="BT5" s="192">
        <f t="shared" si="2"/>
        <v>39.559999999999995</v>
      </c>
      <c r="BU5" s="192">
        <f t="shared" si="2"/>
        <v>14</v>
      </c>
      <c r="BV5" s="192">
        <f>BV8</f>
        <v>15.499999999999998</v>
      </c>
      <c r="BW5" s="192">
        <f t="shared" ref="BW5:BY5" si="3">BW8</f>
        <v>24.71</v>
      </c>
      <c r="BX5" s="192">
        <f t="shared" si="3"/>
        <v>40.21</v>
      </c>
      <c r="BY5" s="192">
        <f t="shared" si="3"/>
        <v>27.6</v>
      </c>
      <c r="BZ5" s="192">
        <f>BZ8</f>
        <v>4</v>
      </c>
      <c r="CA5" s="194">
        <f>(8.5+10.75)/2</f>
        <v>9.625</v>
      </c>
      <c r="CB5" s="194">
        <f>CA5+BZ5</f>
        <v>13.625</v>
      </c>
      <c r="CC5" s="192">
        <f>CC8</f>
        <v>4</v>
      </c>
      <c r="CD5" s="192">
        <f>(9.45+10.49)/2</f>
        <v>9.9699999999999989</v>
      </c>
      <c r="CE5" s="192">
        <f>CE8</f>
        <v>28.18</v>
      </c>
      <c r="CF5" s="192">
        <f>CE5+CD5</f>
        <v>38.15</v>
      </c>
      <c r="CG5" s="192">
        <f>(22.65+23.65)/2</f>
        <v>23.15</v>
      </c>
      <c r="CH5" s="194">
        <f>CH8</f>
        <v>28.15</v>
      </c>
      <c r="CI5" s="194">
        <f t="shared" ref="CI5:CS5" si="4">CI8</f>
        <v>18.47</v>
      </c>
      <c r="CJ5" s="194">
        <f t="shared" si="4"/>
        <v>46.62</v>
      </c>
      <c r="CK5" s="194">
        <f t="shared" si="4"/>
        <v>33.65</v>
      </c>
      <c r="CL5" s="194">
        <f t="shared" si="4"/>
        <v>11</v>
      </c>
      <c r="CM5" s="194">
        <f t="shared" si="4"/>
        <v>23.75</v>
      </c>
      <c r="CN5" s="194">
        <f t="shared" si="4"/>
        <v>34.75</v>
      </c>
      <c r="CO5" s="194">
        <f t="shared" si="4"/>
        <v>29.6</v>
      </c>
      <c r="CP5" s="194">
        <f t="shared" si="4"/>
        <v>6.35</v>
      </c>
      <c r="CQ5" s="194">
        <f t="shared" si="4"/>
        <v>29.900000000000002</v>
      </c>
      <c r="CR5" s="194">
        <f t="shared" si="4"/>
        <v>36.25</v>
      </c>
      <c r="CS5" s="194">
        <f t="shared" si="4"/>
        <v>29.8</v>
      </c>
      <c r="CT5" s="192">
        <v>12</v>
      </c>
      <c r="CU5" s="192">
        <f>13.8/2</f>
        <v>6.9</v>
      </c>
      <c r="CV5" s="192">
        <f>CU5+CT5</f>
        <v>18.899999999999999</v>
      </c>
      <c r="CW5" s="192">
        <f>(9+2)/2</f>
        <v>5.5</v>
      </c>
      <c r="CX5" s="192">
        <f>CX8</f>
        <v>12.950000000000001</v>
      </c>
      <c r="CY5" s="192">
        <f t="shared" ref="CY5:DA5" si="5">CY8</f>
        <v>13.5</v>
      </c>
      <c r="CZ5" s="192">
        <f t="shared" si="5"/>
        <v>26.450000000000003</v>
      </c>
      <c r="DA5" s="192">
        <f t="shared" si="5"/>
        <v>23.200000000000003</v>
      </c>
      <c r="DB5" s="192">
        <f>(16.3+10)/2</f>
        <v>13.15</v>
      </c>
      <c r="DC5" s="192">
        <v>16.63</v>
      </c>
      <c r="DD5" s="192">
        <f>DC5+DB5</f>
        <v>29.78</v>
      </c>
      <c r="DE5" s="192">
        <v>28.45</v>
      </c>
      <c r="DF5" s="192">
        <f>DF8</f>
        <v>7</v>
      </c>
      <c r="DG5" s="192">
        <f t="shared" ref="DG5:DI5" si="6">DG8</f>
        <v>31.42</v>
      </c>
      <c r="DH5" s="192">
        <f t="shared" si="6"/>
        <v>38.42</v>
      </c>
      <c r="DI5" s="192">
        <f t="shared" si="6"/>
        <v>28.970000000000002</v>
      </c>
    </row>
    <row r="6" spans="1:113" s="245" customFormat="1" ht="43.9" customHeight="1">
      <c r="A6" s="246" t="s">
        <v>190</v>
      </c>
      <c r="B6" s="333">
        <v>21</v>
      </c>
      <c r="C6" s="333"/>
      <c r="D6" s="333"/>
      <c r="E6" s="333"/>
      <c r="F6" s="333">
        <v>7</v>
      </c>
      <c r="G6" s="333"/>
      <c r="H6" s="333"/>
      <c r="I6" s="333"/>
      <c r="J6" s="333">
        <v>17</v>
      </c>
      <c r="K6" s="333"/>
      <c r="L6" s="333"/>
      <c r="M6" s="333"/>
      <c r="N6" s="333">
        <v>19</v>
      </c>
      <c r="O6" s="333"/>
      <c r="P6" s="333"/>
      <c r="Q6" s="333"/>
      <c r="R6" s="333">
        <v>5</v>
      </c>
      <c r="S6" s="333"/>
      <c r="T6" s="333"/>
      <c r="U6" s="333"/>
      <c r="V6" s="333">
        <v>6</v>
      </c>
      <c r="W6" s="333"/>
      <c r="X6" s="333"/>
      <c r="Y6" s="333"/>
      <c r="Z6" s="333">
        <v>11</v>
      </c>
      <c r="AA6" s="333"/>
      <c r="AB6" s="333"/>
      <c r="AC6" s="333"/>
      <c r="AD6" s="333">
        <v>10</v>
      </c>
      <c r="AE6" s="333"/>
      <c r="AF6" s="333"/>
      <c r="AG6" s="333"/>
      <c r="AH6" s="333">
        <v>14</v>
      </c>
      <c r="AI6" s="333"/>
      <c r="AJ6" s="333"/>
      <c r="AK6" s="333"/>
      <c r="AL6" s="333">
        <v>2</v>
      </c>
      <c r="AM6" s="333"/>
      <c r="AN6" s="333"/>
      <c r="AO6" s="333"/>
      <c r="AP6" s="333">
        <v>12</v>
      </c>
      <c r="AQ6" s="333"/>
      <c r="AR6" s="333"/>
      <c r="AS6" s="333"/>
      <c r="AT6" s="333">
        <v>3</v>
      </c>
      <c r="AU6" s="333"/>
      <c r="AV6" s="333"/>
      <c r="AW6" s="333"/>
      <c r="AX6" s="333">
        <v>20</v>
      </c>
      <c r="AY6" s="333"/>
      <c r="AZ6" s="333"/>
      <c r="BA6" s="333"/>
      <c r="BB6" s="333">
        <v>26</v>
      </c>
      <c r="BC6" s="333"/>
      <c r="BD6" s="333"/>
      <c r="BE6" s="333"/>
      <c r="BF6" s="352">
        <v>28</v>
      </c>
      <c r="BG6" s="352"/>
      <c r="BH6" s="352"/>
      <c r="BI6" s="352"/>
      <c r="BJ6" s="333">
        <v>23</v>
      </c>
      <c r="BK6" s="333"/>
      <c r="BL6" s="333"/>
      <c r="BM6" s="333"/>
      <c r="BN6" s="333">
        <v>1</v>
      </c>
      <c r="BO6" s="333"/>
      <c r="BP6" s="333"/>
      <c r="BQ6" s="333"/>
      <c r="BR6" s="333">
        <v>9</v>
      </c>
      <c r="BS6" s="333"/>
      <c r="BT6" s="333"/>
      <c r="BU6" s="333"/>
      <c r="BV6" s="333">
        <v>8</v>
      </c>
      <c r="BW6" s="333"/>
      <c r="BX6" s="333"/>
      <c r="BY6" s="333"/>
      <c r="BZ6" s="333">
        <v>27</v>
      </c>
      <c r="CA6" s="333"/>
      <c r="CB6" s="333"/>
      <c r="CC6" s="333"/>
      <c r="CD6" s="333">
        <v>15</v>
      </c>
      <c r="CE6" s="333"/>
      <c r="CF6" s="333"/>
      <c r="CG6" s="333"/>
      <c r="CH6" s="344">
        <v>4</v>
      </c>
      <c r="CI6" s="344"/>
      <c r="CJ6" s="344"/>
      <c r="CK6" s="344"/>
      <c r="CL6" s="344">
        <v>18</v>
      </c>
      <c r="CM6" s="344"/>
      <c r="CN6" s="344"/>
      <c r="CO6" s="344"/>
      <c r="CP6" s="344">
        <v>16</v>
      </c>
      <c r="CQ6" s="344"/>
      <c r="CR6" s="344"/>
      <c r="CS6" s="344"/>
      <c r="CT6" s="333">
        <v>25</v>
      </c>
      <c r="CU6" s="333"/>
      <c r="CV6" s="333"/>
      <c r="CW6" s="333"/>
      <c r="CX6" s="333">
        <v>24</v>
      </c>
      <c r="CY6" s="333"/>
      <c r="CZ6" s="333"/>
      <c r="DA6" s="333"/>
      <c r="DB6" s="333">
        <v>22</v>
      </c>
      <c r="DC6" s="333"/>
      <c r="DD6" s="333"/>
      <c r="DE6" s="333"/>
      <c r="DF6" s="333">
        <v>13</v>
      </c>
      <c r="DG6" s="333"/>
      <c r="DH6" s="333"/>
      <c r="DI6" s="333"/>
    </row>
    <row r="7" spans="1:113" s="245" customFormat="1" ht="50.65" customHeight="1">
      <c r="A7" s="246" t="s">
        <v>191</v>
      </c>
      <c r="B7" s="333">
        <v>17</v>
      </c>
      <c r="C7" s="333"/>
      <c r="D7" s="333"/>
      <c r="E7" s="333"/>
      <c r="F7" s="333">
        <v>2</v>
      </c>
      <c r="G7" s="333"/>
      <c r="H7" s="333"/>
      <c r="I7" s="333"/>
      <c r="J7" s="333">
        <v>7</v>
      </c>
      <c r="K7" s="333"/>
      <c r="L7" s="333"/>
      <c r="M7" s="333"/>
      <c r="N7" s="333">
        <v>8</v>
      </c>
      <c r="O7" s="333"/>
      <c r="P7" s="333"/>
      <c r="Q7" s="333"/>
      <c r="R7" s="333">
        <v>5</v>
      </c>
      <c r="S7" s="333"/>
      <c r="T7" s="333"/>
      <c r="U7" s="333"/>
      <c r="V7" s="333">
        <v>15</v>
      </c>
      <c r="W7" s="333"/>
      <c r="X7" s="333"/>
      <c r="Y7" s="333"/>
      <c r="Z7" s="333">
        <v>11</v>
      </c>
      <c r="AA7" s="333"/>
      <c r="AB7" s="333"/>
      <c r="AC7" s="333"/>
      <c r="AD7" s="333">
        <v>24</v>
      </c>
      <c r="AE7" s="333"/>
      <c r="AF7" s="333"/>
      <c r="AG7" s="333"/>
      <c r="AH7" s="333">
        <v>3</v>
      </c>
      <c r="AI7" s="333"/>
      <c r="AJ7" s="333"/>
      <c r="AK7" s="333"/>
      <c r="AL7" s="333">
        <v>1</v>
      </c>
      <c r="AM7" s="333"/>
      <c r="AN7" s="333"/>
      <c r="AO7" s="333"/>
      <c r="AP7" s="333">
        <v>16</v>
      </c>
      <c r="AQ7" s="333"/>
      <c r="AR7" s="333"/>
      <c r="AS7" s="333"/>
      <c r="AT7" s="333">
        <v>22</v>
      </c>
      <c r="AU7" s="333"/>
      <c r="AV7" s="333"/>
      <c r="AW7" s="333"/>
      <c r="AX7" s="333">
        <v>4</v>
      </c>
      <c r="AY7" s="333"/>
      <c r="AZ7" s="333"/>
      <c r="BA7" s="333"/>
      <c r="BB7" s="333">
        <v>23</v>
      </c>
      <c r="BC7" s="333"/>
      <c r="BD7" s="333"/>
      <c r="BE7" s="333"/>
      <c r="BF7" s="352">
        <v>28</v>
      </c>
      <c r="BG7" s="352"/>
      <c r="BH7" s="352"/>
      <c r="BI7" s="352"/>
      <c r="BJ7" s="333">
        <v>19</v>
      </c>
      <c r="BK7" s="333"/>
      <c r="BL7" s="333"/>
      <c r="BM7" s="333"/>
      <c r="BN7" s="333">
        <v>18</v>
      </c>
      <c r="BO7" s="333"/>
      <c r="BP7" s="333"/>
      <c r="BQ7" s="333"/>
      <c r="BR7" s="333">
        <v>25</v>
      </c>
      <c r="BS7" s="333"/>
      <c r="BT7" s="333"/>
      <c r="BU7" s="333"/>
      <c r="BV7" s="333">
        <v>14</v>
      </c>
      <c r="BW7" s="333"/>
      <c r="BX7" s="333"/>
      <c r="BY7" s="333"/>
      <c r="BZ7" s="333">
        <v>27</v>
      </c>
      <c r="CA7" s="333"/>
      <c r="CB7" s="333"/>
      <c r="CC7" s="333"/>
      <c r="CD7" s="333">
        <v>21</v>
      </c>
      <c r="CE7" s="333"/>
      <c r="CF7" s="333"/>
      <c r="CG7" s="333"/>
      <c r="CH7" s="345">
        <v>6</v>
      </c>
      <c r="CI7" s="345"/>
      <c r="CJ7" s="345"/>
      <c r="CK7" s="345"/>
      <c r="CL7" s="345">
        <v>10</v>
      </c>
      <c r="CM7" s="345"/>
      <c r="CN7" s="345"/>
      <c r="CO7" s="345"/>
      <c r="CP7" s="345">
        <v>9</v>
      </c>
      <c r="CQ7" s="345"/>
      <c r="CR7" s="345"/>
      <c r="CS7" s="345"/>
      <c r="CT7" s="333">
        <v>26</v>
      </c>
      <c r="CU7" s="333"/>
      <c r="CV7" s="333"/>
      <c r="CW7" s="333"/>
      <c r="CX7" s="333">
        <v>20</v>
      </c>
      <c r="CY7" s="333"/>
      <c r="CZ7" s="333"/>
      <c r="DA7" s="333"/>
      <c r="DB7" s="333">
        <v>13</v>
      </c>
      <c r="DC7" s="333"/>
      <c r="DD7" s="333"/>
      <c r="DE7" s="333"/>
      <c r="DF7" s="333">
        <v>12</v>
      </c>
      <c r="DG7" s="333"/>
      <c r="DH7" s="333"/>
      <c r="DI7" s="333"/>
    </row>
    <row r="8" spans="1:113" ht="38.450000000000003" customHeight="1">
      <c r="A8" s="238" t="s">
        <v>74</v>
      </c>
      <c r="B8" s="74">
        <f>SUM(B9:B12)</f>
        <v>12.900000000000002</v>
      </c>
      <c r="C8" s="46">
        <v>18.099999999999998</v>
      </c>
      <c r="D8" s="46">
        <f>C8+B8</f>
        <v>31</v>
      </c>
      <c r="E8" s="75">
        <v>25.8</v>
      </c>
      <c r="F8" s="157">
        <f>SUM(F9:F12)</f>
        <v>11</v>
      </c>
      <c r="G8" s="46">
        <v>34</v>
      </c>
      <c r="H8" s="46">
        <f>SUM(F8:G8)</f>
        <v>45</v>
      </c>
      <c r="I8" s="155">
        <v>42.7</v>
      </c>
      <c r="J8" s="74">
        <f>SUM(J9:J12)</f>
        <v>1.6</v>
      </c>
      <c r="K8" s="155">
        <v>33.799999999999997</v>
      </c>
      <c r="L8" s="197">
        <f>K8+J8</f>
        <v>35.4</v>
      </c>
      <c r="M8" s="198">
        <v>33</v>
      </c>
      <c r="N8" s="157">
        <f>SUM(N9:N12)</f>
        <v>10.5</v>
      </c>
      <c r="O8" s="46">
        <v>23.589999999999996</v>
      </c>
      <c r="P8" s="46">
        <f>O8+N8</f>
        <v>34.089999999999996</v>
      </c>
      <c r="Q8" s="158">
        <f>+Q9+Q10+Q11</f>
        <v>31.060000000000002</v>
      </c>
      <c r="R8" s="74">
        <f>SUM(R9:R12)</f>
        <v>12</v>
      </c>
      <c r="S8" s="155">
        <v>34.200000000000003</v>
      </c>
      <c r="T8" s="197">
        <f>S8+R8</f>
        <v>46.2</v>
      </c>
      <c r="U8" s="198">
        <f>SUM(U9:U12)</f>
        <v>37.5</v>
      </c>
      <c r="V8" s="157">
        <v>18.5</v>
      </c>
      <c r="W8" s="46">
        <v>27</v>
      </c>
      <c r="X8" s="46">
        <f>W8+V8</f>
        <v>45.5</v>
      </c>
      <c r="Y8" s="159">
        <v>27</v>
      </c>
      <c r="Z8" s="74">
        <f>SUM(Z9:Z12)</f>
        <v>22.709999999999997</v>
      </c>
      <c r="AA8" s="157">
        <v>16.259999999999998</v>
      </c>
      <c r="AB8" s="157">
        <f>AA8+Z8</f>
        <v>38.97</v>
      </c>
      <c r="AC8" s="160">
        <v>29.02</v>
      </c>
      <c r="AD8" s="74">
        <f>SUM(AD9:AD12)</f>
        <v>16.5</v>
      </c>
      <c r="AE8" s="46">
        <v>22.85</v>
      </c>
      <c r="AF8" s="46">
        <f>AE8+AD8</f>
        <v>39.35</v>
      </c>
      <c r="AG8" s="156">
        <f>10.5+5.5</f>
        <v>16</v>
      </c>
      <c r="AH8" s="157">
        <f>SUM(AH9:AH12)</f>
        <v>22.1</v>
      </c>
      <c r="AI8" s="46">
        <v>16.100000000000001</v>
      </c>
      <c r="AJ8" s="46">
        <f>AI8+AH8</f>
        <v>38.200000000000003</v>
      </c>
      <c r="AK8" s="158">
        <f>+AK9+AK10+AK11+AK12</f>
        <v>38.200000000000003</v>
      </c>
      <c r="AL8" s="153">
        <f>SUM(AL9:AL12)</f>
        <v>13.4</v>
      </c>
      <c r="AM8" s="155">
        <v>35.200000000000003</v>
      </c>
      <c r="AN8" s="155">
        <f>AM8+AL8</f>
        <v>48.6</v>
      </c>
      <c r="AO8" s="161">
        <f>+AO9+AO10+AO12</f>
        <v>47.15</v>
      </c>
      <c r="AP8" s="162">
        <f t="shared" ref="AP8:CP8" si="7">SUM(AP9:AP12)</f>
        <v>17.07</v>
      </c>
      <c r="AQ8" s="155">
        <v>21.730000000000004</v>
      </c>
      <c r="AR8" s="155">
        <f>AQ8+AP8</f>
        <v>38.800000000000004</v>
      </c>
      <c r="AS8" s="158">
        <f>+AS9+AS10+AS11</f>
        <v>26.15</v>
      </c>
      <c r="AT8" s="153">
        <f t="shared" si="7"/>
        <v>13.069999999999999</v>
      </c>
      <c r="AU8" s="155">
        <v>34.700000000000003</v>
      </c>
      <c r="AV8" s="155">
        <f>AU8+AT8</f>
        <v>47.77</v>
      </c>
      <c r="AW8" s="154" t="s">
        <v>149</v>
      </c>
      <c r="AX8" s="162">
        <f t="shared" si="7"/>
        <v>15</v>
      </c>
      <c r="AY8" s="155">
        <v>17.2</v>
      </c>
      <c r="AZ8" s="155">
        <f>AY8+AX8</f>
        <v>32.200000000000003</v>
      </c>
      <c r="BA8" s="158">
        <f>+BA9+BA10+BA11</f>
        <v>36.700000000000003</v>
      </c>
      <c r="BB8" s="153">
        <v>7.8</v>
      </c>
      <c r="BC8" s="58">
        <v>9.5</v>
      </c>
      <c r="BD8" s="58">
        <f>BC8+BB8</f>
        <v>17.3</v>
      </c>
      <c r="BE8" s="113">
        <v>17.600000000000001</v>
      </c>
      <c r="BF8" s="163" t="s">
        <v>28</v>
      </c>
      <c r="BG8" s="164" t="s">
        <v>131</v>
      </c>
      <c r="BH8" s="164" t="s">
        <v>192</v>
      </c>
      <c r="BI8" s="165"/>
      <c r="BJ8" s="153">
        <f t="shared" si="7"/>
        <v>8.4500000000000011</v>
      </c>
      <c r="BK8" s="154" t="s">
        <v>134</v>
      </c>
      <c r="BL8" s="155"/>
      <c r="BM8" s="156">
        <v>23.7</v>
      </c>
      <c r="BN8" s="166" t="s">
        <v>29</v>
      </c>
      <c r="BO8" s="167" t="s">
        <v>137</v>
      </c>
      <c r="BP8" s="167"/>
      <c r="BQ8" s="168" t="s">
        <v>101</v>
      </c>
      <c r="BR8" s="153">
        <f t="shared" si="7"/>
        <v>20.229999999999997</v>
      </c>
      <c r="BS8" s="155">
        <v>19.329999999999998</v>
      </c>
      <c r="BT8" s="155">
        <f>BS8+BR8</f>
        <v>39.559999999999995</v>
      </c>
      <c r="BU8" s="156">
        <v>14</v>
      </c>
      <c r="BV8" s="162">
        <f t="shared" si="7"/>
        <v>15.499999999999998</v>
      </c>
      <c r="BW8" s="155">
        <v>24.71</v>
      </c>
      <c r="BX8" s="155">
        <f>BW8+BV8</f>
        <v>40.21</v>
      </c>
      <c r="BY8" s="165">
        <v>27.6</v>
      </c>
      <c r="BZ8" s="153">
        <v>4</v>
      </c>
      <c r="CA8" s="167" t="s">
        <v>141</v>
      </c>
      <c r="CB8" s="155"/>
      <c r="CC8" s="156">
        <v>4</v>
      </c>
      <c r="CD8" s="166" t="s">
        <v>30</v>
      </c>
      <c r="CE8" s="169">
        <v>28.18</v>
      </c>
      <c r="CF8" s="167"/>
      <c r="CG8" s="170" t="s">
        <v>114</v>
      </c>
      <c r="CH8" s="171">
        <f>SUM(CH9:CH12)</f>
        <v>28.15</v>
      </c>
      <c r="CI8" s="172">
        <v>18.47</v>
      </c>
      <c r="CJ8" s="172">
        <f>CI8+CH8</f>
        <v>46.62</v>
      </c>
      <c r="CK8" s="161">
        <f t="shared" ref="CK8" si="8">+CK9+CK10+CK11+CK12</f>
        <v>33.65</v>
      </c>
      <c r="CL8" s="173">
        <v>11</v>
      </c>
      <c r="CM8" s="174">
        <v>23.75</v>
      </c>
      <c r="CN8" s="174">
        <f>CM8+CL8</f>
        <v>34.75</v>
      </c>
      <c r="CO8" s="165">
        <v>29.6</v>
      </c>
      <c r="CP8" s="153">
        <f t="shared" si="7"/>
        <v>6.35</v>
      </c>
      <c r="CQ8" s="155">
        <v>29.900000000000002</v>
      </c>
      <c r="CR8" s="155">
        <f>CQ8+CP8</f>
        <v>36.25</v>
      </c>
      <c r="CS8" s="156">
        <v>29.8</v>
      </c>
      <c r="CT8" s="166" t="s">
        <v>31</v>
      </c>
      <c r="CU8" s="167" t="s">
        <v>144</v>
      </c>
      <c r="CV8" s="167"/>
      <c r="CW8" s="168" t="s">
        <v>110</v>
      </c>
      <c r="CX8" s="153">
        <f>SUM(CX9:CX12)</f>
        <v>12.950000000000001</v>
      </c>
      <c r="CY8" s="155">
        <v>13.5</v>
      </c>
      <c r="CZ8" s="155">
        <f>CY8+CX8</f>
        <v>26.450000000000003</v>
      </c>
      <c r="DA8" s="156">
        <f>SUM(DA9:DA12)</f>
        <v>23.200000000000003</v>
      </c>
      <c r="DB8" s="166" t="s">
        <v>32</v>
      </c>
      <c r="DC8" s="167" t="s">
        <v>146</v>
      </c>
      <c r="DD8" s="167"/>
      <c r="DE8" s="168" t="s">
        <v>198</v>
      </c>
      <c r="DF8" s="175">
        <f>SUM(DF9:DF12)</f>
        <v>7</v>
      </c>
      <c r="DG8" s="176">
        <v>31.42</v>
      </c>
      <c r="DH8" s="176">
        <f>DG8+DF8</f>
        <v>38.42</v>
      </c>
      <c r="DI8" s="156">
        <f>SUM(DI9:DI12)</f>
        <v>28.970000000000002</v>
      </c>
    </row>
    <row r="9" spans="1:113" ht="61.15" customHeight="1">
      <c r="A9" s="67" t="s">
        <v>33</v>
      </c>
      <c r="B9" s="76">
        <v>7.9</v>
      </c>
      <c r="C9" s="10">
        <v>9.9</v>
      </c>
      <c r="D9" s="10">
        <f>C9+B9</f>
        <v>17.8</v>
      </c>
      <c r="E9" s="77">
        <v>17.8</v>
      </c>
      <c r="F9" s="51">
        <v>6.5</v>
      </c>
      <c r="G9" s="10">
        <v>21.5</v>
      </c>
      <c r="H9" s="10">
        <f>G9+F9</f>
        <v>28</v>
      </c>
      <c r="I9" s="49">
        <v>28</v>
      </c>
      <c r="J9" s="76" t="s">
        <v>34</v>
      </c>
      <c r="K9" s="49">
        <v>20</v>
      </c>
      <c r="L9" s="199">
        <f>K9</f>
        <v>20</v>
      </c>
      <c r="M9" s="200">
        <v>20</v>
      </c>
      <c r="N9" s="51">
        <v>7.51</v>
      </c>
      <c r="O9" s="10">
        <v>16.88</v>
      </c>
      <c r="P9" s="10">
        <f>O9+N9</f>
        <v>24.39</v>
      </c>
      <c r="Q9" s="88">
        <v>20</v>
      </c>
      <c r="R9" s="76">
        <v>3</v>
      </c>
      <c r="S9" s="49">
        <v>23.3</v>
      </c>
      <c r="T9" s="211">
        <f>S9+R9</f>
        <v>26.3</v>
      </c>
      <c r="U9" s="200">
        <v>26.3</v>
      </c>
      <c r="V9" s="51">
        <v>10</v>
      </c>
      <c r="W9" s="10">
        <v>27</v>
      </c>
      <c r="X9" s="10">
        <f>W9+V9</f>
        <v>37</v>
      </c>
      <c r="Y9" s="11" t="s">
        <v>34</v>
      </c>
      <c r="Z9" s="76">
        <v>9.76</v>
      </c>
      <c r="AA9" s="51">
        <v>9.76</v>
      </c>
      <c r="AB9" s="51">
        <f>AA9+Z9</f>
        <v>19.52</v>
      </c>
      <c r="AC9" s="93">
        <f>9.76*2</f>
        <v>19.52</v>
      </c>
      <c r="AD9" s="76">
        <v>10.5</v>
      </c>
      <c r="AE9" s="10">
        <v>15.8</v>
      </c>
      <c r="AF9" s="10">
        <f>AE9+AD9</f>
        <v>26.3</v>
      </c>
      <c r="AG9" s="83">
        <v>10.5</v>
      </c>
      <c r="AH9" s="51">
        <v>15.5</v>
      </c>
      <c r="AI9" s="10">
        <v>8.85</v>
      </c>
      <c r="AJ9" s="10">
        <f>AI9+AH9</f>
        <v>24.35</v>
      </c>
      <c r="AK9" s="88">
        <f>15.5+8.85</f>
        <v>24.35</v>
      </c>
      <c r="AL9" s="102">
        <v>4</v>
      </c>
      <c r="AM9" s="12">
        <v>14</v>
      </c>
      <c r="AN9" s="12">
        <f>AM9+AL9</f>
        <v>18</v>
      </c>
      <c r="AO9" s="103">
        <f>14+4</f>
        <v>18</v>
      </c>
      <c r="AP9" s="98">
        <v>10.25</v>
      </c>
      <c r="AQ9" s="49">
        <v>12.55</v>
      </c>
      <c r="AR9" s="49">
        <f>AQ9+AP9</f>
        <v>22.8</v>
      </c>
      <c r="AS9" s="88">
        <v>18.5</v>
      </c>
      <c r="AT9" s="102">
        <v>7.5</v>
      </c>
      <c r="AU9" s="49">
        <v>8.86</v>
      </c>
      <c r="AV9" s="49">
        <f>AU9+AT9</f>
        <v>16.36</v>
      </c>
      <c r="AW9" s="83"/>
      <c r="AX9" s="98">
        <v>15</v>
      </c>
      <c r="AY9" s="49" t="s">
        <v>34</v>
      </c>
      <c r="AZ9" s="49">
        <f>AX9</f>
        <v>15</v>
      </c>
      <c r="BA9" s="88">
        <v>20</v>
      </c>
      <c r="BB9" s="102"/>
      <c r="BC9" s="49">
        <v>7.8</v>
      </c>
      <c r="BD9" s="49">
        <v>7.8</v>
      </c>
      <c r="BE9" s="103">
        <v>14.6</v>
      </c>
      <c r="BF9" s="111" t="s">
        <v>28</v>
      </c>
      <c r="BG9" s="60" t="s">
        <v>132</v>
      </c>
      <c r="BH9" s="59">
        <f>2272+1136</f>
        <v>3408</v>
      </c>
      <c r="BI9" s="9" t="s">
        <v>99</v>
      </c>
      <c r="BJ9" s="102">
        <v>5.7</v>
      </c>
      <c r="BK9" s="61" t="s">
        <v>135</v>
      </c>
      <c r="BL9" s="49"/>
      <c r="BM9" s="83">
        <v>5.7</v>
      </c>
      <c r="BN9" s="31" t="s">
        <v>122</v>
      </c>
      <c r="BO9" s="31" t="s">
        <v>138</v>
      </c>
      <c r="BP9" s="31"/>
      <c r="BQ9" s="11"/>
      <c r="BR9" s="120">
        <v>9.35</v>
      </c>
      <c r="BS9" s="61">
        <v>9.35</v>
      </c>
      <c r="BT9" s="61">
        <f>BS9+BR9</f>
        <v>18.7</v>
      </c>
      <c r="BU9" s="83"/>
      <c r="BV9" s="118">
        <v>6.67</v>
      </c>
      <c r="BW9" s="61">
        <v>11.33</v>
      </c>
      <c r="BX9" s="61">
        <f>BW9+BV9</f>
        <v>18</v>
      </c>
      <c r="BY9" s="11">
        <v>20</v>
      </c>
      <c r="BZ9" s="346">
        <v>4</v>
      </c>
      <c r="CA9" s="353" t="s">
        <v>141</v>
      </c>
      <c r="CB9" s="63"/>
      <c r="CC9" s="83"/>
      <c r="CD9" s="125" t="s">
        <v>35</v>
      </c>
      <c r="CE9" s="9">
        <v>23.51</v>
      </c>
      <c r="CF9" s="9"/>
      <c r="CG9" s="9" t="s">
        <v>105</v>
      </c>
      <c r="CH9" s="120">
        <v>17.899999999999999</v>
      </c>
      <c r="CI9" s="61" t="s">
        <v>34</v>
      </c>
      <c r="CJ9" s="61">
        <f>CH9</f>
        <v>17.899999999999999</v>
      </c>
      <c r="CK9" s="103">
        <v>17.899999999999999</v>
      </c>
      <c r="CL9" s="118"/>
      <c r="CM9" s="61">
        <v>23.75</v>
      </c>
      <c r="CN9" s="61">
        <f>CM9</f>
        <v>23.75</v>
      </c>
      <c r="CO9" s="11"/>
      <c r="CP9" s="120">
        <v>4.7</v>
      </c>
      <c r="CQ9" s="61">
        <v>23.6</v>
      </c>
      <c r="CR9" s="61">
        <f>CQ9+CP9</f>
        <v>28.3</v>
      </c>
      <c r="CS9" s="83"/>
      <c r="CT9" s="32"/>
      <c r="CU9" s="32"/>
      <c r="CV9" s="32"/>
      <c r="CW9" s="11"/>
      <c r="CX9" s="102">
        <v>8</v>
      </c>
      <c r="CY9" s="49">
        <v>8</v>
      </c>
      <c r="CZ9" s="49">
        <f>CY9+CX9</f>
        <v>16</v>
      </c>
      <c r="DA9" s="83">
        <v>16</v>
      </c>
      <c r="DB9" s="98"/>
      <c r="DC9" s="49"/>
      <c r="DD9" s="49"/>
      <c r="DE9" s="11"/>
      <c r="DF9" s="102">
        <v>7</v>
      </c>
      <c r="DG9" s="19">
        <v>10.210000000000001</v>
      </c>
      <c r="DH9" s="19">
        <f>DG9+DF9</f>
        <v>17.21</v>
      </c>
      <c r="DI9" s="33">
        <v>10.210000000000001</v>
      </c>
    </row>
    <row r="10" spans="1:113">
      <c r="A10" s="67" t="s">
        <v>36</v>
      </c>
      <c r="B10" s="76">
        <v>3.2</v>
      </c>
      <c r="C10" s="10">
        <v>4.8</v>
      </c>
      <c r="D10" s="10">
        <f>C10+B10</f>
        <v>8</v>
      </c>
      <c r="E10" s="77">
        <v>8</v>
      </c>
      <c r="F10" s="51">
        <v>4.5</v>
      </c>
      <c r="G10" s="10">
        <v>9</v>
      </c>
      <c r="H10" s="10">
        <f t="shared" ref="H10" si="9">G10+F10</f>
        <v>13.5</v>
      </c>
      <c r="I10" s="49">
        <v>13.5</v>
      </c>
      <c r="J10" s="76" t="s">
        <v>34</v>
      </c>
      <c r="K10" s="49">
        <v>13</v>
      </c>
      <c r="L10" s="199">
        <f>K10</f>
        <v>13</v>
      </c>
      <c r="M10" s="200">
        <v>13</v>
      </c>
      <c r="N10" s="51"/>
      <c r="O10" s="10" t="s">
        <v>34</v>
      </c>
      <c r="P10" s="10"/>
      <c r="Q10" s="88">
        <f>7.52+2.37+1.17</f>
        <v>11.06</v>
      </c>
      <c r="R10" s="76">
        <v>9</v>
      </c>
      <c r="S10" s="49">
        <v>3</v>
      </c>
      <c r="T10" s="211">
        <f t="shared" ref="T10" si="10">S10+R10</f>
        <v>12</v>
      </c>
      <c r="U10" s="200">
        <v>9</v>
      </c>
      <c r="V10" s="51">
        <v>7</v>
      </c>
      <c r="W10" s="10"/>
      <c r="X10" s="10">
        <f t="shared" ref="X10:X11" si="11">W10+V10</f>
        <v>7</v>
      </c>
      <c r="Y10" s="11" t="s">
        <v>34</v>
      </c>
      <c r="Z10" s="76">
        <v>9</v>
      </c>
      <c r="AA10" s="51" t="s">
        <v>34</v>
      </c>
      <c r="AB10" s="51">
        <f>Z10</f>
        <v>9</v>
      </c>
      <c r="AC10" s="93"/>
      <c r="AD10" s="76">
        <v>5.5</v>
      </c>
      <c r="AE10" s="10">
        <v>5.2</v>
      </c>
      <c r="AF10" s="10">
        <f t="shared" ref="AF10:AF12" si="12">AE10+AD10</f>
        <v>10.7</v>
      </c>
      <c r="AG10" s="83">
        <v>5.5</v>
      </c>
      <c r="AH10" s="51">
        <v>6.36</v>
      </c>
      <c r="AI10" s="10">
        <v>7.09</v>
      </c>
      <c r="AJ10" s="10">
        <f t="shared" ref="AJ10:AJ12" si="13">AI10+AH10</f>
        <v>13.45</v>
      </c>
      <c r="AK10" s="88">
        <f>6.36+6.56</f>
        <v>12.92</v>
      </c>
      <c r="AL10" s="102">
        <v>4</v>
      </c>
      <c r="AM10" s="12">
        <v>10</v>
      </c>
      <c r="AN10" s="12">
        <f t="shared" ref="AN10:AN12" si="14">AM10+AL10</f>
        <v>14</v>
      </c>
      <c r="AO10" s="103">
        <f>10+4</f>
        <v>14</v>
      </c>
      <c r="AP10" s="98">
        <v>3.82</v>
      </c>
      <c r="AQ10" s="49">
        <v>3.83</v>
      </c>
      <c r="AR10" s="49">
        <f t="shared" ref="AR10:AR12" si="15">AQ10+AP10</f>
        <v>7.65</v>
      </c>
      <c r="AS10" s="88">
        <v>7.65</v>
      </c>
      <c r="AT10" s="102">
        <v>4.7</v>
      </c>
      <c r="AU10" s="49">
        <v>6.15</v>
      </c>
      <c r="AV10" s="49">
        <f t="shared" ref="AV10:AV11" si="16">AU10+AT10</f>
        <v>10.850000000000001</v>
      </c>
      <c r="AW10" s="83"/>
      <c r="AX10" s="98" t="s">
        <v>34</v>
      </c>
      <c r="AY10" s="49">
        <v>15</v>
      </c>
      <c r="AZ10" s="49">
        <f>AY10</f>
        <v>15</v>
      </c>
      <c r="BA10" s="88">
        <v>15</v>
      </c>
      <c r="BB10" s="102"/>
      <c r="BC10" s="12"/>
      <c r="BD10" s="12"/>
      <c r="BE10" s="83"/>
      <c r="BF10" s="98"/>
      <c r="BG10" s="49" t="s">
        <v>34</v>
      </c>
      <c r="BH10" s="49"/>
      <c r="BI10" s="11"/>
      <c r="BJ10" s="102">
        <v>1.32</v>
      </c>
      <c r="BK10" s="49">
        <v>2.08</v>
      </c>
      <c r="BL10" s="49"/>
      <c r="BM10" s="83">
        <f>1.32+0.17</f>
        <v>1.49</v>
      </c>
      <c r="BN10" s="98">
        <v>0.75</v>
      </c>
      <c r="BO10" s="12">
        <v>12.8</v>
      </c>
      <c r="BP10" s="49">
        <f>BO10+BN10</f>
        <v>13.55</v>
      </c>
      <c r="BQ10" s="11"/>
      <c r="BR10" s="102">
        <v>8.1999999999999993</v>
      </c>
      <c r="BS10" s="49">
        <v>7.3</v>
      </c>
      <c r="BT10" s="61">
        <f t="shared" ref="BT10:BT12" si="17">BS10+BR10</f>
        <v>15.5</v>
      </c>
      <c r="BU10" s="83" t="s">
        <v>102</v>
      </c>
      <c r="BV10" s="98">
        <v>2.5499999999999998</v>
      </c>
      <c r="BW10" s="49">
        <v>5.9</v>
      </c>
      <c r="BX10" s="61">
        <f t="shared" ref="BX10:BX12" si="18">BW10+BV10</f>
        <v>8.4499999999999993</v>
      </c>
      <c r="BY10" s="11">
        <v>7.6</v>
      </c>
      <c r="BZ10" s="347"/>
      <c r="CA10" s="354"/>
      <c r="CB10" s="56"/>
      <c r="CC10" s="83"/>
      <c r="CD10" s="98" t="s">
        <v>34</v>
      </c>
      <c r="CE10" s="49" t="s">
        <v>34</v>
      </c>
      <c r="CF10" s="49"/>
      <c r="CG10" s="11" t="s">
        <v>34</v>
      </c>
      <c r="CH10" s="102" t="s">
        <v>34</v>
      </c>
      <c r="CI10" s="49">
        <v>6.75</v>
      </c>
      <c r="CJ10" s="49">
        <f>CI10</f>
        <v>6.75</v>
      </c>
      <c r="CK10" s="103">
        <f>5.5+9.65</f>
        <v>15.15</v>
      </c>
      <c r="CL10" s="98"/>
      <c r="CM10" s="49"/>
      <c r="CN10" s="49"/>
      <c r="CO10" s="11"/>
      <c r="CP10" s="120"/>
      <c r="CQ10" s="61"/>
      <c r="CR10" s="61"/>
      <c r="CS10" s="83"/>
      <c r="CT10" s="98"/>
      <c r="CU10" s="49"/>
      <c r="CV10" s="49"/>
      <c r="CW10" s="11"/>
      <c r="CX10" s="102">
        <v>3.05</v>
      </c>
      <c r="CY10" s="49">
        <v>2.8</v>
      </c>
      <c r="CZ10" s="49">
        <f t="shared" ref="CZ10" si="19">CY10+CX10</f>
        <v>5.85</v>
      </c>
      <c r="DA10" s="83">
        <v>6.1</v>
      </c>
      <c r="DB10" s="98"/>
      <c r="DC10" s="49"/>
      <c r="DD10" s="49"/>
      <c r="DE10" s="11"/>
      <c r="DF10" s="102"/>
      <c r="DG10" s="19">
        <v>4.3499999999999996</v>
      </c>
      <c r="DH10" s="19">
        <f t="shared" ref="DH10:DH12" si="20">DG10+DF10</f>
        <v>4.3499999999999996</v>
      </c>
      <c r="DI10" s="33">
        <v>4.4400000000000004</v>
      </c>
    </row>
    <row r="11" spans="1:113" ht="45">
      <c r="A11" s="67" t="s">
        <v>37</v>
      </c>
      <c r="B11" s="76">
        <v>0.4</v>
      </c>
      <c r="C11" s="10">
        <v>0.6</v>
      </c>
      <c r="D11" s="10">
        <f>C11+B11</f>
        <v>1</v>
      </c>
      <c r="E11" s="77"/>
      <c r="F11" s="51" t="s">
        <v>34</v>
      </c>
      <c r="G11" s="10">
        <v>1.2</v>
      </c>
      <c r="H11" s="10">
        <f>G11</f>
        <v>1.2</v>
      </c>
      <c r="I11" s="49">
        <v>1.2</v>
      </c>
      <c r="J11" s="76">
        <v>1.6</v>
      </c>
      <c r="K11" s="19">
        <v>0.8</v>
      </c>
      <c r="L11" s="201">
        <f>K11+J11</f>
        <v>2.4000000000000004</v>
      </c>
      <c r="M11" s="202"/>
      <c r="N11" s="51">
        <v>0.65</v>
      </c>
      <c r="O11" s="10">
        <v>1.45</v>
      </c>
      <c r="P11" s="10">
        <f>O11+N11</f>
        <v>2.1</v>
      </c>
      <c r="Q11" s="88"/>
      <c r="R11" s="76" t="s">
        <v>34</v>
      </c>
      <c r="S11" s="49">
        <v>1.1000000000000001</v>
      </c>
      <c r="T11" s="211">
        <f>S11</f>
        <v>1.1000000000000001</v>
      </c>
      <c r="U11" s="200"/>
      <c r="V11" s="51">
        <v>1.5</v>
      </c>
      <c r="W11" s="10"/>
      <c r="X11" s="10">
        <f t="shared" si="11"/>
        <v>1.5</v>
      </c>
      <c r="Y11" s="11" t="s">
        <v>34</v>
      </c>
      <c r="Z11" s="76" t="s">
        <v>34</v>
      </c>
      <c r="AA11" s="51" t="s">
        <v>34</v>
      </c>
      <c r="AB11" s="51"/>
      <c r="AC11" s="93"/>
      <c r="AD11" s="76">
        <v>0.5</v>
      </c>
      <c r="AE11" s="10">
        <v>0.5</v>
      </c>
      <c r="AF11" s="10">
        <f t="shared" si="12"/>
        <v>1</v>
      </c>
      <c r="AG11" s="83"/>
      <c r="AH11" s="51">
        <v>0.14000000000000001</v>
      </c>
      <c r="AI11" s="10">
        <v>0.06</v>
      </c>
      <c r="AJ11" s="10">
        <f t="shared" si="13"/>
        <v>0.2</v>
      </c>
      <c r="AK11" s="88">
        <f>0.14+0.06</f>
        <v>0.2</v>
      </c>
      <c r="AL11" s="102">
        <v>1</v>
      </c>
      <c r="AM11" s="12">
        <v>1</v>
      </c>
      <c r="AN11" s="12">
        <f t="shared" si="14"/>
        <v>2</v>
      </c>
      <c r="AO11" s="104" t="s">
        <v>90</v>
      </c>
      <c r="AP11" s="98">
        <v>3</v>
      </c>
      <c r="AQ11" s="49">
        <v>3</v>
      </c>
      <c r="AR11" s="49">
        <f t="shared" si="15"/>
        <v>6</v>
      </c>
      <c r="AS11" s="88"/>
      <c r="AT11" s="102">
        <v>0.87</v>
      </c>
      <c r="AU11" s="19">
        <v>3.16</v>
      </c>
      <c r="AV11" s="49">
        <f t="shared" si="16"/>
        <v>4.03</v>
      </c>
      <c r="AW11" s="84"/>
      <c r="AX11" s="98" t="s">
        <v>34</v>
      </c>
      <c r="AY11" s="49">
        <v>1.7</v>
      </c>
      <c r="AZ11" s="49">
        <f t="shared" ref="AZ11:AZ12" si="21">AY11</f>
        <v>1.7</v>
      </c>
      <c r="BA11" s="88">
        <v>1.7</v>
      </c>
      <c r="BB11" s="102"/>
      <c r="BC11" s="12"/>
      <c r="BD11" s="12"/>
      <c r="BE11" s="83"/>
      <c r="BF11" s="98"/>
      <c r="BG11" s="19" t="s">
        <v>34</v>
      </c>
      <c r="BH11" s="19"/>
      <c r="BI11" s="14" t="s">
        <v>100</v>
      </c>
      <c r="BJ11" s="102">
        <v>0.65</v>
      </c>
      <c r="BK11" s="61" t="s">
        <v>136</v>
      </c>
      <c r="BL11" s="49"/>
      <c r="BM11" s="83">
        <v>0.65</v>
      </c>
      <c r="BN11" s="98">
        <v>2.4</v>
      </c>
      <c r="BO11" s="12">
        <v>4</v>
      </c>
      <c r="BP11" s="49">
        <f t="shared" ref="BP11" si="22">BO11+BN11</f>
        <v>6.4</v>
      </c>
      <c r="BQ11" s="14"/>
      <c r="BR11" s="102">
        <v>1.5</v>
      </c>
      <c r="BS11" s="19">
        <v>1.5</v>
      </c>
      <c r="BT11" s="61">
        <f t="shared" si="17"/>
        <v>3</v>
      </c>
      <c r="BU11" s="84"/>
      <c r="BV11" s="98">
        <v>2.93</v>
      </c>
      <c r="BW11" s="19">
        <v>6.03</v>
      </c>
      <c r="BX11" s="61">
        <f t="shared" si="18"/>
        <v>8.9600000000000009</v>
      </c>
      <c r="BY11" s="14" t="s">
        <v>34</v>
      </c>
      <c r="BZ11" s="347"/>
      <c r="CA11" s="354"/>
      <c r="CB11" s="56"/>
      <c r="CC11" s="84"/>
      <c r="CD11" s="98">
        <v>0.3</v>
      </c>
      <c r="CE11" s="19">
        <v>1.31</v>
      </c>
      <c r="CF11" s="19"/>
      <c r="CG11" s="14" t="s">
        <v>34</v>
      </c>
      <c r="CH11" s="102" t="s">
        <v>34</v>
      </c>
      <c r="CI11" s="49">
        <v>4.22</v>
      </c>
      <c r="CJ11" s="49">
        <f>CI11</f>
        <v>4.22</v>
      </c>
      <c r="CK11" s="103"/>
      <c r="CL11" s="98"/>
      <c r="CM11" s="49"/>
      <c r="CN11" s="49"/>
      <c r="CO11" s="11"/>
      <c r="CP11" s="102">
        <v>1.55</v>
      </c>
      <c r="CQ11" s="19">
        <v>5.5</v>
      </c>
      <c r="CR11" s="19">
        <f>CQ11+CP11</f>
        <v>7.05</v>
      </c>
      <c r="CS11" s="84"/>
      <c r="CT11" s="98"/>
      <c r="CU11" s="49"/>
      <c r="CV11" s="49"/>
      <c r="CW11" s="11"/>
      <c r="CX11" s="102"/>
      <c r="CY11" s="49" t="s">
        <v>34</v>
      </c>
      <c r="CZ11" s="49"/>
      <c r="DA11" s="83"/>
      <c r="DB11" s="98"/>
      <c r="DC11" s="49"/>
      <c r="DD11" s="49"/>
      <c r="DE11" s="11"/>
      <c r="DF11" s="102"/>
      <c r="DG11" s="19">
        <v>2.64</v>
      </c>
      <c r="DH11" s="19">
        <f t="shared" si="20"/>
        <v>2.64</v>
      </c>
      <c r="DI11" s="33">
        <v>0.1</v>
      </c>
    </row>
    <row r="12" spans="1:113" ht="56.25">
      <c r="A12" s="67" t="s">
        <v>38</v>
      </c>
      <c r="B12" s="76">
        <v>1.4</v>
      </c>
      <c r="C12" s="10">
        <v>2.8</v>
      </c>
      <c r="D12" s="10">
        <f>C12+B12</f>
        <v>4.1999999999999993</v>
      </c>
      <c r="E12" s="77" t="s">
        <v>75</v>
      </c>
      <c r="F12" s="51" t="s">
        <v>34</v>
      </c>
      <c r="G12" s="10" t="s">
        <v>125</v>
      </c>
      <c r="H12" s="10">
        <f>(5.04-0.28)/2</f>
        <v>2.38</v>
      </c>
      <c r="I12" s="49" t="s">
        <v>79</v>
      </c>
      <c r="J12" s="76"/>
      <c r="K12" s="49" t="s">
        <v>34</v>
      </c>
      <c r="L12" s="199"/>
      <c r="M12" s="200"/>
      <c r="N12" s="51">
        <v>2.34</v>
      </c>
      <c r="O12" s="10">
        <v>5.26</v>
      </c>
      <c r="P12" s="10">
        <f>O12+N12</f>
        <v>7.6</v>
      </c>
      <c r="Q12" s="89" t="s">
        <v>80</v>
      </c>
      <c r="R12" s="76" t="s">
        <v>34</v>
      </c>
      <c r="S12" s="49">
        <v>6.8</v>
      </c>
      <c r="T12" s="211">
        <f>S12</f>
        <v>6.8</v>
      </c>
      <c r="U12" s="200">
        <v>2.2000000000000002</v>
      </c>
      <c r="V12" s="51">
        <v>0</v>
      </c>
      <c r="W12" s="10" t="s">
        <v>34</v>
      </c>
      <c r="X12" s="10"/>
      <c r="Y12" s="11" t="s">
        <v>34</v>
      </c>
      <c r="Z12" s="76">
        <v>3.95</v>
      </c>
      <c r="AA12" s="51">
        <v>6.5</v>
      </c>
      <c r="AB12" s="51">
        <f>AA12+Z12</f>
        <v>10.45</v>
      </c>
      <c r="AC12" s="93">
        <f>6.5+4.26</f>
        <v>10.76</v>
      </c>
      <c r="AD12" s="76">
        <v>0</v>
      </c>
      <c r="AE12" s="10">
        <v>1.35</v>
      </c>
      <c r="AF12" s="10">
        <f t="shared" si="12"/>
        <v>1.35</v>
      </c>
      <c r="AG12" s="83"/>
      <c r="AH12" s="51">
        <v>0.1</v>
      </c>
      <c r="AI12" s="10">
        <v>0.1</v>
      </c>
      <c r="AJ12" s="10">
        <f t="shared" si="13"/>
        <v>0.2</v>
      </c>
      <c r="AK12" s="88">
        <f>0.53+0.2</f>
        <v>0.73</v>
      </c>
      <c r="AL12" s="102">
        <v>4.4000000000000004</v>
      </c>
      <c r="AM12" s="12">
        <v>10.199999999999999</v>
      </c>
      <c r="AN12" s="12">
        <f t="shared" si="14"/>
        <v>14.6</v>
      </c>
      <c r="AO12" s="103">
        <f>6+4.4+4.75</f>
        <v>15.15</v>
      </c>
      <c r="AP12" s="98"/>
      <c r="AQ12" s="49">
        <v>2.35</v>
      </c>
      <c r="AR12" s="49">
        <f t="shared" si="15"/>
        <v>2.35</v>
      </c>
      <c r="AS12" s="89" t="s">
        <v>91</v>
      </c>
      <c r="AT12" s="102" t="s">
        <v>34</v>
      </c>
      <c r="AU12" s="49">
        <v>16.53</v>
      </c>
      <c r="AV12" s="49">
        <f>AU12</f>
        <v>16.53</v>
      </c>
      <c r="AW12" s="83"/>
      <c r="AX12" s="98" t="s">
        <v>34</v>
      </c>
      <c r="AY12" s="49">
        <v>0.5</v>
      </c>
      <c r="AZ12" s="49">
        <f t="shared" si="21"/>
        <v>0.5</v>
      </c>
      <c r="BA12" s="88">
        <v>0.5</v>
      </c>
      <c r="BB12" s="102"/>
      <c r="BC12" s="49">
        <v>1.7</v>
      </c>
      <c r="BD12" s="49">
        <v>1.7</v>
      </c>
      <c r="BE12" s="104" t="s">
        <v>96</v>
      </c>
      <c r="BF12" s="98"/>
      <c r="BG12" s="49" t="s">
        <v>133</v>
      </c>
      <c r="BH12" s="49">
        <f>(6000+8000)/2</f>
        <v>7000</v>
      </c>
      <c r="BI12" s="11"/>
      <c r="BJ12" s="102">
        <v>0.78</v>
      </c>
      <c r="BK12" s="49"/>
      <c r="BL12" s="49"/>
      <c r="BM12" s="83"/>
      <c r="BN12" s="98" t="s">
        <v>34</v>
      </c>
      <c r="BO12" s="12">
        <f>7.69+0.3</f>
        <v>7.99</v>
      </c>
      <c r="BP12" s="49">
        <f>BO12</f>
        <v>7.99</v>
      </c>
      <c r="BQ12" s="11"/>
      <c r="BR12" s="102">
        <v>1.18</v>
      </c>
      <c r="BS12" s="49">
        <v>1.18</v>
      </c>
      <c r="BT12" s="61">
        <f t="shared" si="17"/>
        <v>2.36</v>
      </c>
      <c r="BU12" s="83"/>
      <c r="BV12" s="98">
        <v>3.35</v>
      </c>
      <c r="BW12" s="49">
        <v>1.45</v>
      </c>
      <c r="BX12" s="61">
        <f t="shared" si="18"/>
        <v>4.8</v>
      </c>
      <c r="BY12" s="11" t="s">
        <v>34</v>
      </c>
      <c r="BZ12" s="348"/>
      <c r="CA12" s="355"/>
      <c r="CB12" s="64"/>
      <c r="CC12" s="83"/>
      <c r="CD12" s="98" t="s">
        <v>34</v>
      </c>
      <c r="CE12" s="49">
        <v>3.36</v>
      </c>
      <c r="CF12" s="49"/>
      <c r="CG12" s="11" t="s">
        <v>34</v>
      </c>
      <c r="CH12" s="102">
        <v>10.25</v>
      </c>
      <c r="CI12" s="49">
        <v>7.5</v>
      </c>
      <c r="CJ12" s="49">
        <f>CI12+CH12</f>
        <v>17.75</v>
      </c>
      <c r="CK12" s="103">
        <v>0.6</v>
      </c>
      <c r="CL12" s="98"/>
      <c r="CM12" s="49"/>
      <c r="CN12" s="49"/>
      <c r="CO12" s="11"/>
      <c r="CP12" s="102">
        <v>0.1</v>
      </c>
      <c r="CQ12" s="49">
        <v>0.8</v>
      </c>
      <c r="CR12" s="19">
        <f>CQ12+CP12</f>
        <v>0.9</v>
      </c>
      <c r="CS12" s="83"/>
      <c r="CT12" s="98"/>
      <c r="CU12" s="49" t="s">
        <v>34</v>
      </c>
      <c r="CV12" s="49"/>
      <c r="CW12" s="11"/>
      <c r="CX12" s="102">
        <f>0.5+1.4</f>
        <v>1.9</v>
      </c>
      <c r="CY12" s="61" t="s">
        <v>145</v>
      </c>
      <c r="CZ12" s="49">
        <f>1.1+(-0.51+3.04)/2+CX12</f>
        <v>4.2650000000000006</v>
      </c>
      <c r="DA12" s="83">
        <v>1.1000000000000001</v>
      </c>
      <c r="DB12" s="98"/>
      <c r="DC12" s="49" t="s">
        <v>34</v>
      </c>
      <c r="DD12" s="49"/>
      <c r="DE12" s="11"/>
      <c r="DF12" s="102"/>
      <c r="DG12" s="19">
        <v>14.22</v>
      </c>
      <c r="DH12" s="19">
        <f t="shared" si="20"/>
        <v>14.22</v>
      </c>
      <c r="DI12" s="33">
        <f>0.3+2.6+11.32</f>
        <v>14.22</v>
      </c>
    </row>
    <row r="13" spans="1:113" ht="135.75" thickBot="1">
      <c r="A13" s="68" t="s">
        <v>78</v>
      </c>
      <c r="B13" s="76"/>
      <c r="C13" s="5"/>
      <c r="D13" s="10"/>
      <c r="E13" s="78" t="s">
        <v>76</v>
      </c>
      <c r="F13" s="52"/>
      <c r="H13" s="16"/>
      <c r="I13" s="19"/>
      <c r="J13" s="85"/>
      <c r="K13" s="19"/>
      <c r="L13" s="201"/>
      <c r="M13" s="203" t="s">
        <v>115</v>
      </c>
      <c r="N13" s="52"/>
      <c r="P13" s="16"/>
      <c r="Q13" s="90" t="s">
        <v>81</v>
      </c>
      <c r="R13" s="85"/>
      <c r="S13" s="5"/>
      <c r="T13" s="212"/>
      <c r="U13" s="213" t="s">
        <v>83</v>
      </c>
      <c r="V13" s="52"/>
      <c r="X13" s="16"/>
      <c r="Y13" s="9" t="s">
        <v>86</v>
      </c>
      <c r="Z13" s="85"/>
      <c r="AA13" s="21"/>
      <c r="AB13" s="52"/>
      <c r="AC13" s="94" t="s">
        <v>84</v>
      </c>
      <c r="AD13" s="85"/>
      <c r="AE13" s="5"/>
      <c r="AF13" s="16"/>
      <c r="AG13" s="92" t="s">
        <v>87</v>
      </c>
      <c r="AH13" s="52"/>
      <c r="AJ13" s="16"/>
      <c r="AK13" s="97">
        <v>831.74</v>
      </c>
      <c r="AL13" s="105"/>
      <c r="AM13" s="5"/>
      <c r="AN13" s="13"/>
      <c r="AO13" s="106" t="s">
        <v>197</v>
      </c>
      <c r="AP13" s="99"/>
      <c r="AQ13" s="13"/>
      <c r="AR13" s="15"/>
      <c r="AS13" s="18" t="s">
        <v>92</v>
      </c>
      <c r="AT13" s="105"/>
      <c r="AU13" s="5"/>
      <c r="AV13" s="19"/>
      <c r="AW13" s="92" t="s">
        <v>116</v>
      </c>
      <c r="AX13" s="99"/>
      <c r="AZ13" s="19"/>
      <c r="BA13" s="90" t="s">
        <v>94</v>
      </c>
      <c r="BB13" s="114"/>
      <c r="BC13" s="19"/>
      <c r="BD13" s="19"/>
      <c r="BE13" s="106" t="s">
        <v>97</v>
      </c>
      <c r="BF13" s="112"/>
      <c r="BH13" s="19"/>
      <c r="BI13" s="19"/>
      <c r="BJ13" s="105"/>
      <c r="BK13" s="19" t="s">
        <v>52</v>
      </c>
      <c r="BL13" s="19"/>
      <c r="BM13" s="84" t="s">
        <v>34</v>
      </c>
      <c r="BN13" s="99"/>
      <c r="BO13" s="13"/>
      <c r="BP13" s="19"/>
      <c r="BQ13" s="117"/>
      <c r="BR13" s="105"/>
      <c r="BS13" s="5"/>
      <c r="BT13" s="19"/>
      <c r="BU13" s="83"/>
      <c r="BV13" s="98"/>
      <c r="BW13" s="49"/>
      <c r="BX13" s="49"/>
      <c r="BY13" s="117"/>
      <c r="BZ13" s="187"/>
      <c r="CA13" s="20" t="s">
        <v>42</v>
      </c>
      <c r="CB13" s="56"/>
      <c r="CC13" s="110" t="s">
        <v>104</v>
      </c>
      <c r="CD13" s="112"/>
      <c r="CF13" s="19"/>
      <c r="CG13" s="117">
        <v>15548</v>
      </c>
      <c r="CH13" s="114"/>
      <c r="CI13" s="5"/>
      <c r="CJ13" s="19"/>
      <c r="CK13" s="106" t="s">
        <v>106</v>
      </c>
      <c r="CL13" s="112"/>
      <c r="CM13" s="49"/>
      <c r="CN13" s="19"/>
      <c r="CO13" s="9" t="s">
        <v>108</v>
      </c>
      <c r="CP13" s="102"/>
      <c r="CQ13" s="5"/>
      <c r="CR13" s="19"/>
      <c r="CS13" s="83" t="s">
        <v>117</v>
      </c>
      <c r="CT13" s="112"/>
      <c r="CV13" s="19"/>
      <c r="CW13" s="14" t="s">
        <v>111</v>
      </c>
      <c r="CX13" s="105"/>
      <c r="CY13" s="5"/>
      <c r="CZ13" s="19"/>
      <c r="DA13" s="110" t="s">
        <v>112</v>
      </c>
      <c r="DB13" s="15"/>
      <c r="DC13" s="12"/>
      <c r="DD13" s="49"/>
      <c r="DE13" s="9" t="s">
        <v>113</v>
      </c>
      <c r="DF13" s="105"/>
      <c r="DG13" s="5"/>
      <c r="DH13" s="19"/>
      <c r="DI13" s="33" t="s">
        <v>34</v>
      </c>
    </row>
    <row r="14" spans="1:113" ht="90.75" thickBot="1">
      <c r="A14" s="69" t="s">
        <v>39</v>
      </c>
      <c r="B14" s="76" t="s">
        <v>40</v>
      </c>
      <c r="C14" s="10" t="s">
        <v>124</v>
      </c>
      <c r="D14" s="34"/>
      <c r="E14" s="79" t="s">
        <v>77</v>
      </c>
      <c r="F14" s="72" t="s">
        <v>41</v>
      </c>
      <c r="G14" s="48" t="s">
        <v>41</v>
      </c>
      <c r="H14" s="47"/>
      <c r="I14" s="82">
        <v>1277328</v>
      </c>
      <c r="J14" s="87" t="s">
        <v>42</v>
      </c>
      <c r="K14" s="19" t="s">
        <v>42</v>
      </c>
      <c r="L14" s="204"/>
      <c r="M14" s="203" t="s">
        <v>118</v>
      </c>
      <c r="N14" s="72" t="s">
        <v>43</v>
      </c>
      <c r="O14" s="16" t="s">
        <v>43</v>
      </c>
      <c r="P14" s="23"/>
      <c r="Q14" s="90" t="s">
        <v>82</v>
      </c>
      <c r="R14" s="87" t="s">
        <v>44</v>
      </c>
      <c r="S14" s="19" t="s">
        <v>44</v>
      </c>
      <c r="T14" s="214"/>
      <c r="U14" s="213">
        <v>20760</v>
      </c>
      <c r="V14" s="91" t="s">
        <v>42</v>
      </c>
      <c r="W14" s="16" t="s">
        <v>42</v>
      </c>
      <c r="X14" s="48"/>
      <c r="Y14" s="9" t="s">
        <v>34</v>
      </c>
      <c r="Z14" s="95" t="s">
        <v>45</v>
      </c>
      <c r="AA14" s="21" t="s">
        <v>45</v>
      </c>
      <c r="AB14" s="53"/>
      <c r="AC14" s="94" t="s">
        <v>85</v>
      </c>
      <c r="AD14" s="96" t="s">
        <v>46</v>
      </c>
      <c r="AE14" s="48" t="s">
        <v>127</v>
      </c>
      <c r="AF14" s="54"/>
      <c r="AG14" s="92" t="s">
        <v>88</v>
      </c>
      <c r="AH14" s="91" t="s">
        <v>42</v>
      </c>
      <c r="AI14" s="16" t="s">
        <v>42</v>
      </c>
      <c r="AJ14" s="22"/>
      <c r="AK14" s="90">
        <v>5391</v>
      </c>
      <c r="AL14" s="107" t="s">
        <v>47</v>
      </c>
      <c r="AM14" s="13" t="s">
        <v>128</v>
      </c>
      <c r="AN14" s="1"/>
      <c r="AO14" s="106" t="s">
        <v>196</v>
      </c>
      <c r="AP14" s="100" t="s">
        <v>48</v>
      </c>
      <c r="AQ14" s="56" t="s">
        <v>129</v>
      </c>
      <c r="AR14" s="55"/>
      <c r="AS14" s="90" t="s">
        <v>93</v>
      </c>
      <c r="AT14" s="109" t="s">
        <v>49</v>
      </c>
      <c r="AU14" s="57" t="s">
        <v>49</v>
      </c>
      <c r="AV14" s="24"/>
      <c r="AW14" s="110" t="s">
        <v>119</v>
      </c>
      <c r="AX14" s="100" t="s">
        <v>50</v>
      </c>
      <c r="AY14" s="50" t="s">
        <v>130</v>
      </c>
      <c r="AZ14" s="55"/>
      <c r="BA14" s="90" t="s">
        <v>95</v>
      </c>
      <c r="BB14" s="115" t="s">
        <v>51</v>
      </c>
      <c r="BC14" s="50" t="s">
        <v>51</v>
      </c>
      <c r="BD14" s="17"/>
      <c r="BE14" s="106" t="s">
        <v>98</v>
      </c>
      <c r="BF14" s="91" t="s">
        <v>42</v>
      </c>
      <c r="BG14" s="19" t="s">
        <v>42</v>
      </c>
      <c r="BH14" s="26"/>
      <c r="BI14" s="26"/>
      <c r="BJ14" s="107" t="s">
        <v>52</v>
      </c>
      <c r="BK14" s="47"/>
      <c r="BL14" s="47"/>
      <c r="BM14" s="84" t="s">
        <v>34</v>
      </c>
      <c r="BN14" s="116" t="s">
        <v>53</v>
      </c>
      <c r="BO14" s="2" t="s">
        <v>53</v>
      </c>
      <c r="BP14" s="62"/>
      <c r="BQ14" s="117"/>
      <c r="BR14" s="107" t="s">
        <v>54</v>
      </c>
      <c r="BS14" s="50" t="s">
        <v>139</v>
      </c>
      <c r="BT14" s="47"/>
      <c r="BU14" s="121" t="s">
        <v>34</v>
      </c>
      <c r="BV14" s="118" t="s">
        <v>55</v>
      </c>
      <c r="BW14" s="61" t="s">
        <v>140</v>
      </c>
      <c r="BX14" s="61"/>
      <c r="BY14" s="25" t="s">
        <v>103</v>
      </c>
      <c r="BZ14" s="107" t="s">
        <v>56</v>
      </c>
      <c r="CA14" s="20" t="s">
        <v>42</v>
      </c>
      <c r="CB14" s="1"/>
      <c r="CC14" s="110"/>
      <c r="CD14" s="91" t="s">
        <v>42</v>
      </c>
      <c r="CE14" s="50" t="s">
        <v>142</v>
      </c>
      <c r="CF14" s="50"/>
      <c r="CG14" s="117" t="s">
        <v>120</v>
      </c>
      <c r="CH14" s="87" t="s">
        <v>57</v>
      </c>
      <c r="CI14" s="19" t="s">
        <v>143</v>
      </c>
      <c r="CJ14" s="22"/>
      <c r="CK14" s="129" t="s">
        <v>107</v>
      </c>
      <c r="CL14" s="91" t="s">
        <v>42</v>
      </c>
      <c r="CM14" s="50" t="s">
        <v>42</v>
      </c>
      <c r="CN14" s="65"/>
      <c r="CO14" s="125" t="s">
        <v>109</v>
      </c>
      <c r="CP14" s="87" t="s">
        <v>42</v>
      </c>
      <c r="CQ14" s="50" t="s">
        <v>42</v>
      </c>
      <c r="CR14" s="50"/>
      <c r="CS14" s="86" t="s">
        <v>121</v>
      </c>
      <c r="CT14" s="91" t="s">
        <v>42</v>
      </c>
      <c r="CU14" s="19" t="s">
        <v>42</v>
      </c>
      <c r="CV14" s="50"/>
      <c r="CW14" s="14">
        <v>41865</v>
      </c>
      <c r="CX14" s="107" t="s">
        <v>58</v>
      </c>
      <c r="CY14" s="50" t="s">
        <v>58</v>
      </c>
      <c r="CZ14" s="47"/>
      <c r="DA14" s="110">
        <v>115378</v>
      </c>
      <c r="DB14" s="132" t="s">
        <v>59</v>
      </c>
      <c r="DC14" s="12" t="s">
        <v>147</v>
      </c>
      <c r="DD14" s="35"/>
      <c r="DE14" s="9" t="s">
        <v>34</v>
      </c>
      <c r="DF14" s="133" t="s">
        <v>60</v>
      </c>
      <c r="DG14" s="50" t="s">
        <v>42</v>
      </c>
      <c r="DH14" s="19"/>
      <c r="DI14" s="33" t="s">
        <v>34</v>
      </c>
    </row>
    <row r="15" spans="1:113" ht="25.5">
      <c r="A15" s="70" t="s">
        <v>61</v>
      </c>
      <c r="B15" s="358">
        <v>893.7</v>
      </c>
      <c r="C15" s="359"/>
      <c r="D15" s="359"/>
      <c r="E15" s="360"/>
      <c r="F15" s="338">
        <v>26183.200000000001</v>
      </c>
      <c r="G15" s="337"/>
      <c r="H15" s="337"/>
      <c r="I15" s="339"/>
      <c r="J15" s="338">
        <v>1065</v>
      </c>
      <c r="K15" s="337"/>
      <c r="L15" s="337"/>
      <c r="M15" s="339"/>
      <c r="N15" s="338">
        <v>818</v>
      </c>
      <c r="O15" s="337"/>
      <c r="P15" s="337"/>
      <c r="Q15" s="339"/>
      <c r="R15" s="338">
        <v>735.1</v>
      </c>
      <c r="S15" s="337"/>
      <c r="T15" s="337"/>
      <c r="U15" s="339"/>
      <c r="V15" s="338">
        <v>248149.9</v>
      </c>
      <c r="W15" s="337"/>
      <c r="X15" s="337"/>
      <c r="Y15" s="339"/>
      <c r="Z15" s="338">
        <v>3850.2</v>
      </c>
      <c r="AA15" s="337"/>
      <c r="AB15" s="337"/>
      <c r="AC15" s="339"/>
      <c r="AD15" s="338">
        <v>2559.5</v>
      </c>
      <c r="AE15" s="337"/>
      <c r="AF15" s="337"/>
      <c r="AG15" s="339"/>
      <c r="AH15" s="338">
        <v>1849.3</v>
      </c>
      <c r="AI15" s="337"/>
      <c r="AJ15" s="337"/>
      <c r="AK15" s="339"/>
      <c r="AL15" s="338">
        <v>1025.4000000000001</v>
      </c>
      <c r="AM15" s="337"/>
      <c r="AN15" s="337"/>
      <c r="AO15" s="339"/>
      <c r="AP15" s="338">
        <v>3389.8</v>
      </c>
      <c r="AQ15" s="337"/>
      <c r="AR15" s="337"/>
      <c r="AS15" s="339"/>
      <c r="AT15" s="349">
        <v>3571.8</v>
      </c>
      <c r="AU15" s="350"/>
      <c r="AV15" s="350"/>
      <c r="AW15" s="351"/>
      <c r="AX15" s="338">
        <v>8076</v>
      </c>
      <c r="AY15" s="337"/>
      <c r="AZ15" s="337"/>
      <c r="BA15" s="339"/>
      <c r="BB15" s="338">
        <v>1878.25</v>
      </c>
      <c r="BC15" s="337"/>
      <c r="BD15" s="337"/>
      <c r="BE15" s="339"/>
      <c r="BF15" s="338">
        <v>35699.699999999997</v>
      </c>
      <c r="BG15" s="337"/>
      <c r="BH15" s="337"/>
      <c r="BI15" s="339"/>
      <c r="BJ15" s="338">
        <v>3407.8</v>
      </c>
      <c r="BK15" s="337"/>
      <c r="BL15" s="337"/>
      <c r="BM15" s="339"/>
      <c r="BN15" s="349">
        <v>3040.9</v>
      </c>
      <c r="BO15" s="350"/>
      <c r="BP15" s="350"/>
      <c r="BQ15" s="351"/>
      <c r="BR15" s="338">
        <v>3134.4</v>
      </c>
      <c r="BS15" s="337"/>
      <c r="BT15" s="337"/>
      <c r="BU15" s="339"/>
      <c r="BV15" s="338">
        <v>1470.2</v>
      </c>
      <c r="BW15" s="337"/>
      <c r="BX15" s="337"/>
      <c r="BY15" s="339"/>
      <c r="BZ15" s="349">
        <v>3947.2</v>
      </c>
      <c r="CA15" s="350"/>
      <c r="CB15" s="350"/>
      <c r="CC15" s="351"/>
      <c r="CD15" s="338">
        <v>2407.5</v>
      </c>
      <c r="CE15" s="337"/>
      <c r="CF15" s="337"/>
      <c r="CG15" s="339"/>
      <c r="CH15" s="338">
        <v>3865.3</v>
      </c>
      <c r="CI15" s="337"/>
      <c r="CJ15" s="337"/>
      <c r="CK15" s="339"/>
      <c r="CL15" s="338">
        <v>1364</v>
      </c>
      <c r="CM15" s="337"/>
      <c r="CN15" s="337"/>
      <c r="CO15" s="339"/>
      <c r="CP15" s="338">
        <v>2289.9</v>
      </c>
      <c r="CQ15" s="337"/>
      <c r="CR15" s="337"/>
      <c r="CS15" s="339"/>
      <c r="CT15" s="338">
        <v>2758.5</v>
      </c>
      <c r="CU15" s="337"/>
      <c r="CV15" s="337"/>
      <c r="CW15" s="339"/>
      <c r="CX15" s="338">
        <v>5031.8</v>
      </c>
      <c r="CY15" s="337"/>
      <c r="CZ15" s="337"/>
      <c r="DA15" s="339"/>
      <c r="DB15" s="337">
        <v>1378.8958333333333</v>
      </c>
      <c r="DC15" s="337"/>
      <c r="DD15" s="337"/>
      <c r="DE15" s="337"/>
      <c r="DF15" s="338">
        <v>32448.799999999999</v>
      </c>
      <c r="DG15" s="337"/>
      <c r="DH15" s="337"/>
      <c r="DI15" s="339"/>
    </row>
    <row r="16" spans="1:113" ht="68.25" thickBot="1">
      <c r="A16" s="71" t="s">
        <v>62</v>
      </c>
      <c r="B16" s="80">
        <f>1227/B15</f>
        <v>1.3729439409197717</v>
      </c>
      <c r="C16" s="43">
        <v>1.4</v>
      </c>
      <c r="D16" s="43"/>
      <c r="E16" s="81">
        <v>2.9092536645406732</v>
      </c>
      <c r="F16" s="73">
        <f>48*F15/(F15*12)</f>
        <v>4</v>
      </c>
      <c r="G16" s="36">
        <v>4</v>
      </c>
      <c r="H16" s="36"/>
      <c r="I16" s="43">
        <v>4.0653548840477862</v>
      </c>
      <c r="J16" s="80" t="s">
        <v>34</v>
      </c>
      <c r="K16" s="43" t="s">
        <v>34</v>
      </c>
      <c r="L16" s="205"/>
      <c r="M16" s="206">
        <v>5.492957746478873</v>
      </c>
      <c r="N16" s="73">
        <f>46400/(N15*12)</f>
        <v>4.7269763651181744</v>
      </c>
      <c r="O16" s="36">
        <v>4.7</v>
      </c>
      <c r="P16" s="36"/>
      <c r="Q16" s="43">
        <v>4.9511002444987779</v>
      </c>
      <c r="R16" s="80">
        <f>9454/(R15*12)</f>
        <v>1.0717362717090644</v>
      </c>
      <c r="S16" s="43">
        <v>1.1000000000000001</v>
      </c>
      <c r="T16" s="205"/>
      <c r="U16" s="206">
        <v>2.3534213032240507</v>
      </c>
      <c r="V16" s="73" t="s">
        <v>34</v>
      </c>
      <c r="W16" s="36" t="s">
        <v>34</v>
      </c>
      <c r="X16" s="36"/>
      <c r="Y16" s="43" t="s">
        <v>34</v>
      </c>
      <c r="Z16" s="80">
        <f>30*Z15/(Z15*12)</f>
        <v>2.5000000000000004</v>
      </c>
      <c r="AA16" s="36">
        <v>2.5</v>
      </c>
      <c r="AB16" s="36"/>
      <c r="AC16" s="42">
        <v>30.847748168926291</v>
      </c>
      <c r="AD16" s="80">
        <v>5</v>
      </c>
      <c r="AE16" s="36">
        <v>5</v>
      </c>
      <c r="AF16" s="36"/>
      <c r="AG16" s="81" t="s">
        <v>89</v>
      </c>
      <c r="AH16" s="73" t="s">
        <v>34</v>
      </c>
      <c r="AI16" s="43" t="s">
        <v>34</v>
      </c>
      <c r="AJ16" s="43"/>
      <c r="AK16" s="37">
        <v>2.9151045421773611</v>
      </c>
      <c r="AL16" s="108">
        <f>4025/AL15</f>
        <v>3.925297444899551</v>
      </c>
      <c r="AM16" s="43">
        <v>3.9</v>
      </c>
      <c r="AN16" s="43"/>
      <c r="AO16" s="81">
        <v>4.0178789110117838</v>
      </c>
      <c r="AP16" s="101">
        <f>4650/AP15</f>
        <v>1.3717623458611128</v>
      </c>
      <c r="AQ16" s="38">
        <v>1.4</v>
      </c>
      <c r="AR16" s="38"/>
      <c r="AS16" s="43">
        <v>1.6003736663552781</v>
      </c>
      <c r="AT16" s="108">
        <f>60161.85/(AT15*12)</f>
        <v>1.4036305224256675</v>
      </c>
      <c r="AU16" s="38">
        <v>1.4</v>
      </c>
      <c r="AV16" s="38"/>
      <c r="AW16" s="42">
        <v>1.9108712693879835</v>
      </c>
      <c r="AX16" s="101">
        <f>47646/(8076)</f>
        <v>5.8997028231797923</v>
      </c>
      <c r="AY16" s="38">
        <v>5.9</v>
      </c>
      <c r="AZ16" s="38"/>
      <c r="BA16" s="43">
        <v>5.9</v>
      </c>
      <c r="BB16" s="108" t="s">
        <v>34</v>
      </c>
      <c r="BC16" s="38" t="s">
        <v>34</v>
      </c>
      <c r="BD16" s="38"/>
      <c r="BE16" s="42" t="s">
        <v>34</v>
      </c>
      <c r="BF16" s="101" t="s">
        <v>34</v>
      </c>
      <c r="BG16" s="38"/>
      <c r="BH16" s="38"/>
      <c r="BI16" s="43"/>
      <c r="BJ16" s="108">
        <f>41299.87/(BJ15*12)</f>
        <v>1.0099348064244771</v>
      </c>
      <c r="BK16" s="38"/>
      <c r="BL16" s="38"/>
      <c r="BM16" s="42" t="s">
        <v>34</v>
      </c>
      <c r="BN16" s="101">
        <f>152160/(BN15*12)</f>
        <v>4.1698181459436352</v>
      </c>
      <c r="BO16" s="38">
        <v>4.2</v>
      </c>
      <c r="BP16" s="38"/>
      <c r="BQ16" s="43"/>
      <c r="BR16" s="122" t="s">
        <v>63</v>
      </c>
      <c r="BS16" s="39"/>
      <c r="BT16" s="39"/>
      <c r="BU16" s="123" t="s">
        <v>34</v>
      </c>
      <c r="BV16" s="119">
        <v>4</v>
      </c>
      <c r="BW16" s="40">
        <v>3.8</v>
      </c>
      <c r="BX16" s="40"/>
      <c r="BY16" s="124">
        <v>3.77</v>
      </c>
      <c r="BZ16" s="108" t="s">
        <v>64</v>
      </c>
      <c r="CA16" s="38"/>
      <c r="CB16" s="38"/>
      <c r="CC16" s="42"/>
      <c r="CD16" s="126" t="s">
        <v>65</v>
      </c>
      <c r="CE16" s="41"/>
      <c r="CF16" s="41"/>
      <c r="CG16" s="128">
        <v>2.66</v>
      </c>
      <c r="CH16" s="130">
        <v>0.7</v>
      </c>
      <c r="CI16" s="40">
        <v>1.1000000000000001</v>
      </c>
      <c r="CJ16" s="40"/>
      <c r="CK16" s="131">
        <v>0.72</v>
      </c>
      <c r="CL16" s="101" t="s">
        <v>34</v>
      </c>
      <c r="CM16" s="38" t="s">
        <v>34</v>
      </c>
      <c r="CN16" s="38"/>
      <c r="CO16" s="43">
        <v>3.69</v>
      </c>
      <c r="CP16" s="108" t="s">
        <v>34</v>
      </c>
      <c r="CQ16" s="38" t="s">
        <v>34</v>
      </c>
      <c r="CR16" s="38"/>
      <c r="CS16" s="42">
        <v>1.57</v>
      </c>
      <c r="CT16" s="101" t="s">
        <v>34</v>
      </c>
      <c r="CU16" s="38"/>
      <c r="CV16" s="38"/>
      <c r="CW16" s="43">
        <v>1.26</v>
      </c>
      <c r="CX16" s="108">
        <f>115261.56/(CX15*12)</f>
        <v>1.908885488294447</v>
      </c>
      <c r="CY16" s="38">
        <v>1.9</v>
      </c>
      <c r="CZ16" s="38"/>
      <c r="DA16" s="42">
        <v>1.91</v>
      </c>
      <c r="DB16" s="101" t="s">
        <v>34</v>
      </c>
      <c r="DC16" s="38"/>
      <c r="DD16" s="38"/>
      <c r="DE16" s="43" t="s">
        <v>34</v>
      </c>
      <c r="DF16" s="108">
        <v>1.2</v>
      </c>
      <c r="DG16" s="43" t="s">
        <v>34</v>
      </c>
      <c r="DH16" s="43"/>
      <c r="DI16" s="42" t="s">
        <v>34</v>
      </c>
    </row>
    <row r="17" spans="1:112">
      <c r="A17" s="3"/>
      <c r="B17" s="4"/>
      <c r="C17" s="4"/>
      <c r="D17" s="4"/>
      <c r="E17" s="4"/>
      <c r="F17" s="4"/>
      <c r="G17" s="4"/>
      <c r="H17" s="4"/>
      <c r="I17" s="4"/>
      <c r="J17" s="4"/>
      <c r="K17" s="4"/>
      <c r="L17" s="207"/>
      <c r="M17" s="208"/>
      <c r="N17" s="4"/>
      <c r="O17" s="4"/>
      <c r="P17" s="4"/>
      <c r="Q17" s="4"/>
      <c r="R17" s="4"/>
      <c r="S17" s="4"/>
      <c r="T17" s="207"/>
      <c r="U17" s="208"/>
      <c r="V17" s="5"/>
      <c r="W17" s="5"/>
      <c r="X17" s="5"/>
      <c r="Y17" s="5"/>
      <c r="Z17" s="4"/>
      <c r="AA17" s="4"/>
      <c r="AB17" s="4"/>
      <c r="AC17" s="4"/>
      <c r="AD17" s="4"/>
      <c r="AE17" s="4"/>
      <c r="AF17" s="4"/>
      <c r="AG17" s="4"/>
      <c r="AH17" s="4"/>
      <c r="AI17" s="4"/>
      <c r="AJ17" s="4"/>
      <c r="AK17" s="4"/>
      <c r="AL17" s="4"/>
      <c r="AM17" s="4"/>
      <c r="AN17" s="4"/>
      <c r="AO17" s="4"/>
      <c r="AP17" s="6"/>
      <c r="AQ17" s="6"/>
      <c r="AR17" s="6"/>
      <c r="AS17" s="6"/>
      <c r="BV17" s="7"/>
      <c r="BW17" s="7"/>
      <c r="BX17" s="7"/>
      <c r="BY17" s="7"/>
      <c r="BZ17" s="7"/>
      <c r="CA17" s="7"/>
      <c r="CB17" s="7"/>
      <c r="CC17" s="7"/>
      <c r="CD17" s="7"/>
      <c r="CE17" s="7"/>
      <c r="CF17" s="7"/>
      <c r="CG17" s="7"/>
      <c r="CH17" s="7"/>
      <c r="CI17" s="7"/>
      <c r="CJ17" s="7"/>
      <c r="CK17" s="7"/>
    </row>
    <row r="18" spans="1:112">
      <c r="BR18" s="7"/>
      <c r="BS18" s="7"/>
      <c r="BT18" s="7"/>
      <c r="BU18" s="7"/>
      <c r="BV18" s="7"/>
      <c r="BW18" s="7"/>
      <c r="BX18" s="7"/>
      <c r="BY18" s="7"/>
      <c r="CH18" s="7"/>
      <c r="CI18" s="7"/>
      <c r="CJ18" s="7"/>
      <c r="CK18" s="7"/>
      <c r="DF18" s="7"/>
      <c r="DG18" s="7"/>
      <c r="DH18" s="7"/>
    </row>
    <row r="19" spans="1:112">
      <c r="A19" s="3"/>
      <c r="B19" s="8" t="s">
        <v>67</v>
      </c>
      <c r="C19" s="8"/>
      <c r="D19" s="8"/>
      <c r="E19" s="8"/>
      <c r="F19" s="4"/>
      <c r="G19" s="4"/>
      <c r="H19" s="4"/>
      <c r="I19" s="4"/>
      <c r="J19" s="4"/>
      <c r="K19" s="4"/>
      <c r="L19" s="207"/>
      <c r="M19" s="208"/>
      <c r="N19" s="4"/>
      <c r="O19" s="4"/>
      <c r="P19" s="4"/>
      <c r="Q19" s="4"/>
      <c r="R19" s="4"/>
      <c r="S19" s="4"/>
      <c r="T19" s="207"/>
      <c r="U19" s="208"/>
      <c r="V19" s="5"/>
      <c r="W19" s="5"/>
      <c r="X19" s="5"/>
      <c r="Y19" s="5"/>
      <c r="Z19" s="4"/>
      <c r="AA19" s="4"/>
      <c r="AB19" s="4"/>
      <c r="AC19" s="4"/>
      <c r="AD19" s="4"/>
      <c r="AE19" s="4"/>
      <c r="AF19" s="4"/>
      <c r="AG19" s="4"/>
      <c r="AH19" s="4"/>
      <c r="AI19" s="4"/>
      <c r="AJ19" s="4"/>
      <c r="AK19" s="4"/>
      <c r="AL19" s="4"/>
      <c r="AM19" s="4"/>
      <c r="AN19" s="4"/>
      <c r="AO19" s="4"/>
      <c r="AP19" s="6"/>
      <c r="AQ19" s="6"/>
      <c r="AR19" s="6"/>
      <c r="AS19" s="6"/>
    </row>
    <row r="20" spans="1:112">
      <c r="A20" s="3"/>
      <c r="B20" s="8" t="s">
        <v>69</v>
      </c>
      <c r="C20" s="8"/>
      <c r="D20" s="8"/>
      <c r="E20" s="8"/>
      <c r="F20" s="4"/>
      <c r="G20" s="4"/>
      <c r="H20" s="4"/>
      <c r="I20" s="4"/>
      <c r="J20" s="4"/>
      <c r="K20" s="4"/>
      <c r="L20" s="207"/>
      <c r="M20" s="208"/>
      <c r="N20" s="4"/>
      <c r="O20" s="4"/>
      <c r="P20" s="4"/>
      <c r="Q20" s="4"/>
      <c r="R20" s="4"/>
      <c r="S20" s="4"/>
      <c r="T20" s="207"/>
      <c r="U20" s="208"/>
      <c r="V20" s="5"/>
      <c r="W20" s="5"/>
      <c r="X20" s="5"/>
      <c r="Y20" s="5"/>
      <c r="Z20" s="4"/>
      <c r="AA20" s="4"/>
      <c r="AB20" s="4"/>
      <c r="AC20" s="4"/>
      <c r="AD20" s="4"/>
      <c r="AE20" s="4"/>
      <c r="AF20" s="4"/>
      <c r="AG20" s="4"/>
      <c r="AH20" s="4"/>
      <c r="AI20" s="4"/>
      <c r="AJ20" s="4"/>
      <c r="AK20" s="4"/>
      <c r="AL20" s="4"/>
      <c r="AM20" s="4"/>
      <c r="AN20" s="4"/>
      <c r="AO20" s="4"/>
      <c r="AP20" s="6"/>
      <c r="AQ20" s="6"/>
      <c r="AR20" s="6"/>
      <c r="AS20" s="6"/>
    </row>
    <row r="21" spans="1:112">
      <c r="A21" s="3"/>
      <c r="B21" s="8" t="s">
        <v>70</v>
      </c>
      <c r="C21" s="8"/>
      <c r="D21" s="8"/>
      <c r="E21" s="8"/>
      <c r="F21" s="4"/>
      <c r="G21" s="4"/>
      <c r="H21" s="4"/>
      <c r="I21" s="4"/>
      <c r="J21" s="4"/>
      <c r="K21" s="4"/>
      <c r="L21" s="207"/>
      <c r="M21" s="208"/>
      <c r="N21" s="4"/>
      <c r="O21" s="4"/>
      <c r="P21" s="4"/>
      <c r="Q21" s="4"/>
      <c r="R21" s="4"/>
      <c r="S21" s="4"/>
      <c r="T21" s="207"/>
      <c r="U21" s="208"/>
      <c r="V21" s="5"/>
      <c r="W21" s="5"/>
      <c r="X21" s="5"/>
      <c r="Y21" s="5"/>
      <c r="Z21" s="4"/>
      <c r="AA21" s="4"/>
      <c r="AB21" s="4"/>
      <c r="AC21" s="4"/>
      <c r="AD21" s="4"/>
      <c r="AE21" s="4"/>
      <c r="AF21" s="4"/>
      <c r="AG21" s="4"/>
      <c r="AH21" s="4"/>
      <c r="AI21" s="4"/>
      <c r="AJ21" s="4"/>
      <c r="AK21" s="4"/>
      <c r="AL21" s="4"/>
      <c r="AM21" s="4"/>
      <c r="AN21" s="4"/>
      <c r="AO21" s="4"/>
      <c r="AP21" s="6"/>
      <c r="AQ21" s="6"/>
      <c r="AR21" s="6"/>
      <c r="AS21" s="6"/>
    </row>
    <row r="22" spans="1:112">
      <c r="A22" s="3"/>
      <c r="B22" s="8" t="s">
        <v>71</v>
      </c>
      <c r="C22" s="8"/>
      <c r="D22" s="8"/>
      <c r="E22" s="8"/>
      <c r="F22" s="4"/>
      <c r="G22" s="4"/>
      <c r="H22" s="4"/>
      <c r="I22" s="4"/>
      <c r="J22" s="4"/>
      <c r="K22" s="4"/>
      <c r="L22" s="207"/>
      <c r="M22" s="208"/>
      <c r="N22" s="4"/>
      <c r="O22" s="4"/>
      <c r="P22" s="4"/>
      <c r="Q22" s="4"/>
      <c r="R22" s="4"/>
      <c r="S22" s="4"/>
      <c r="T22" s="207"/>
      <c r="U22" s="208"/>
      <c r="V22" s="5"/>
      <c r="W22" s="5"/>
      <c r="X22" s="5"/>
      <c r="Y22" s="5"/>
      <c r="Z22" s="4"/>
      <c r="AA22" s="4"/>
      <c r="AB22" s="4"/>
      <c r="AC22" s="4"/>
      <c r="AD22" s="4"/>
      <c r="AE22" s="4"/>
      <c r="AF22" s="4"/>
      <c r="AG22" s="4"/>
      <c r="AH22" s="4"/>
      <c r="AI22" s="4"/>
      <c r="AJ22" s="4"/>
      <c r="AK22" s="4"/>
      <c r="AL22" s="4"/>
      <c r="AM22" s="4"/>
      <c r="AN22" s="4"/>
      <c r="AO22" s="4"/>
      <c r="AP22" s="6"/>
      <c r="AQ22" s="6"/>
      <c r="AR22" s="6"/>
      <c r="AS22" s="6"/>
    </row>
    <row r="23" spans="1:112">
      <c r="A23" s="3"/>
      <c r="B23" s="8"/>
      <c r="C23" s="8"/>
      <c r="D23" s="8"/>
      <c r="E23" s="8"/>
      <c r="F23" s="4"/>
      <c r="G23" s="4"/>
      <c r="H23" s="4"/>
      <c r="I23" s="4"/>
      <c r="J23" s="4"/>
      <c r="K23" s="4"/>
      <c r="L23" s="207"/>
      <c r="M23" s="208"/>
      <c r="N23" s="4"/>
      <c r="O23" s="4"/>
      <c r="P23" s="4"/>
      <c r="Q23" s="4"/>
      <c r="R23" s="4"/>
      <c r="S23" s="4"/>
      <c r="T23" s="207"/>
      <c r="U23" s="208"/>
      <c r="V23" s="5"/>
      <c r="W23" s="5"/>
      <c r="X23" s="5"/>
      <c r="Y23" s="5"/>
      <c r="Z23" s="4"/>
      <c r="AA23" s="4"/>
      <c r="AB23" s="4"/>
      <c r="AC23" s="4"/>
      <c r="AD23" s="4"/>
      <c r="AE23" s="4"/>
      <c r="AF23" s="4"/>
      <c r="AG23" s="4"/>
      <c r="AH23" s="4"/>
      <c r="AI23" s="4"/>
      <c r="AJ23" s="4"/>
      <c r="AK23" s="4"/>
      <c r="AL23" s="4"/>
      <c r="AM23" s="4"/>
      <c r="AN23" s="4"/>
      <c r="AO23" s="4"/>
      <c r="AP23" s="6"/>
      <c r="AQ23" s="6"/>
      <c r="AR23" s="6"/>
      <c r="AS23" s="6"/>
    </row>
  </sheetData>
  <mergeCells count="114">
    <mergeCell ref="BN2:BQ2"/>
    <mergeCell ref="BR2:BU2"/>
    <mergeCell ref="Z2:AC2"/>
    <mergeCell ref="AD2:AG2"/>
    <mergeCell ref="AH2:AK2"/>
    <mergeCell ref="AL2:AO2"/>
    <mergeCell ref="AP2:AS2"/>
    <mergeCell ref="AT2:AW2"/>
    <mergeCell ref="B2:E2"/>
    <mergeCell ref="F2:I2"/>
    <mergeCell ref="J2:M2"/>
    <mergeCell ref="N2:Q2"/>
    <mergeCell ref="R2:U2"/>
    <mergeCell ref="V2:Y2"/>
    <mergeCell ref="AH6:AK6"/>
    <mergeCell ref="AL6:AO6"/>
    <mergeCell ref="AP6:AS6"/>
    <mergeCell ref="AT6:AW6"/>
    <mergeCell ref="CT2:CW2"/>
    <mergeCell ref="CX2:DA2"/>
    <mergeCell ref="DB2:DE2"/>
    <mergeCell ref="DF2:DI2"/>
    <mergeCell ref="B6:E6"/>
    <mergeCell ref="F6:I6"/>
    <mergeCell ref="J6:M6"/>
    <mergeCell ref="N6:Q6"/>
    <mergeCell ref="R6:U6"/>
    <mergeCell ref="V6:Y6"/>
    <mergeCell ref="BV2:BY2"/>
    <mergeCell ref="BZ2:CC2"/>
    <mergeCell ref="CD2:CG2"/>
    <mergeCell ref="CH2:CK2"/>
    <mergeCell ref="CL2:CO2"/>
    <mergeCell ref="CP2:CS2"/>
    <mergeCell ref="AX2:BA2"/>
    <mergeCell ref="BB2:BE2"/>
    <mergeCell ref="BF2:BI2"/>
    <mergeCell ref="BJ2:BM2"/>
    <mergeCell ref="CT6:CW6"/>
    <mergeCell ref="CX6:DA6"/>
    <mergeCell ref="DB6:DE6"/>
    <mergeCell ref="DF6:DI6"/>
    <mergeCell ref="B7:E7"/>
    <mergeCell ref="F7:I7"/>
    <mergeCell ref="J7:M7"/>
    <mergeCell ref="N7:Q7"/>
    <mergeCell ref="R7:U7"/>
    <mergeCell ref="V7:Y7"/>
    <mergeCell ref="BV6:BY6"/>
    <mergeCell ref="BZ6:CC6"/>
    <mergeCell ref="CD6:CG6"/>
    <mergeCell ref="CH6:CK6"/>
    <mergeCell ref="CL6:CO6"/>
    <mergeCell ref="CP6:CS6"/>
    <mergeCell ref="AX6:BA6"/>
    <mergeCell ref="BB6:BE6"/>
    <mergeCell ref="BF6:BI6"/>
    <mergeCell ref="BJ6:BM6"/>
    <mergeCell ref="BN6:BQ6"/>
    <mergeCell ref="BR6:BU6"/>
    <mergeCell ref="Z6:AC6"/>
    <mergeCell ref="AD6:AG6"/>
    <mergeCell ref="DF7:DI7"/>
    <mergeCell ref="BZ9:BZ12"/>
    <mergeCell ref="CA9:CA12"/>
    <mergeCell ref="BV7:BY7"/>
    <mergeCell ref="BZ7:CC7"/>
    <mergeCell ref="CD7:CG7"/>
    <mergeCell ref="CH7:CK7"/>
    <mergeCell ref="CL7:CO7"/>
    <mergeCell ref="CP7:CS7"/>
    <mergeCell ref="B15:E15"/>
    <mergeCell ref="F15:I15"/>
    <mergeCell ref="J15:M15"/>
    <mergeCell ref="N15:Q15"/>
    <mergeCell ref="R15:U15"/>
    <mergeCell ref="V15:Y15"/>
    <mergeCell ref="CT7:CW7"/>
    <mergeCell ref="CX7:DA7"/>
    <mergeCell ref="DB7:DE7"/>
    <mergeCell ref="AX7:BA7"/>
    <mergeCell ref="BB7:BE7"/>
    <mergeCell ref="BF7:BI7"/>
    <mergeCell ref="BJ7:BM7"/>
    <mergeCell ref="BN7:BQ7"/>
    <mergeCell ref="BR7:BU7"/>
    <mergeCell ref="Z7:AC7"/>
    <mergeCell ref="AD7:AG7"/>
    <mergeCell ref="AH7:AK7"/>
    <mergeCell ref="AL7:AO7"/>
    <mergeCell ref="AP7:AS7"/>
    <mergeCell ref="AT7:AW7"/>
    <mergeCell ref="AX15:BA15"/>
    <mergeCell ref="BB15:BE15"/>
    <mergeCell ref="BF15:BI15"/>
    <mergeCell ref="BJ15:BM15"/>
    <mergeCell ref="BN15:BQ15"/>
    <mergeCell ref="BR15:BU15"/>
    <mergeCell ref="Z15:AC15"/>
    <mergeCell ref="AD15:AG15"/>
    <mergeCell ref="AH15:AK15"/>
    <mergeCell ref="AL15:AO15"/>
    <mergeCell ref="AP15:AS15"/>
    <mergeCell ref="AT15:AW15"/>
    <mergeCell ref="CT15:CW15"/>
    <mergeCell ref="CX15:DA15"/>
    <mergeCell ref="DB15:DE15"/>
    <mergeCell ref="DF15:DI15"/>
    <mergeCell ref="BV15:BY15"/>
    <mergeCell ref="BZ15:CC15"/>
    <mergeCell ref="CD15:CG15"/>
    <mergeCell ref="CH15:CK15"/>
    <mergeCell ref="CL15:CO15"/>
    <mergeCell ref="CP15:CS15"/>
  </mergeCells>
  <pageMargins left="0.7" right="0.7" top="0.75" bottom="0.75" header="0.3" footer="0.3"/>
  <pageSetup paperSize="9"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S45"/>
  <sheetViews>
    <sheetView topLeftCell="A2" zoomScaleNormal="100" workbookViewId="0">
      <pane ySplit="3" topLeftCell="A5" activePane="bottomLeft" state="frozen"/>
      <selection activeCell="B3" sqref="B3"/>
      <selection pane="bottomLeft" activeCell="M17" sqref="M17"/>
    </sheetView>
  </sheetViews>
  <sheetFormatPr defaultRowHeight="14.25"/>
  <cols>
    <col min="1" max="1" width="6.7109375" style="247" hidden="1" customWidth="1"/>
    <col min="2" max="2" width="20.7109375" style="247" customWidth="1"/>
    <col min="3" max="3" width="14.85546875" style="247" customWidth="1"/>
    <col min="4" max="4" width="14.7109375" style="247" customWidth="1"/>
    <col min="5" max="5" width="17.5703125" style="247" customWidth="1"/>
    <col min="6" max="6" width="17.42578125" style="247" customWidth="1"/>
    <col min="7" max="7" width="13.85546875" style="247" customWidth="1"/>
    <col min="8" max="8" width="20.28515625" style="247" customWidth="1"/>
    <col min="9" max="11" width="17.140625" style="247" customWidth="1"/>
    <col min="12" max="30" width="17.42578125" style="247" customWidth="1"/>
    <col min="31" max="275" width="8.85546875" style="247"/>
    <col min="276" max="276" width="17.28515625" style="247" customWidth="1"/>
    <col min="277" max="277" width="12.7109375" style="247" customWidth="1"/>
    <col min="278" max="278" width="14.7109375" style="247" customWidth="1"/>
    <col min="279" max="279" width="12.42578125" style="247" customWidth="1"/>
    <col min="280" max="280" width="12.28515625" style="247" customWidth="1"/>
    <col min="281" max="281" width="12.7109375" style="247" customWidth="1"/>
    <col min="282" max="282" width="12.42578125" style="247" customWidth="1"/>
    <col min="283" max="283" width="13.85546875" style="247" customWidth="1"/>
    <col min="284" max="284" width="20.28515625" style="247" customWidth="1"/>
    <col min="285" max="285" width="11.7109375" style="247" customWidth="1"/>
    <col min="286" max="286" width="17.42578125" style="247" customWidth="1"/>
    <col min="287" max="531" width="8.85546875" style="247"/>
    <col min="532" max="532" width="17.28515625" style="247" customWidth="1"/>
    <col min="533" max="533" width="12.7109375" style="247" customWidth="1"/>
    <col min="534" max="534" width="14.7109375" style="247" customWidth="1"/>
    <col min="535" max="535" width="12.42578125" style="247" customWidth="1"/>
    <col min="536" max="536" width="12.28515625" style="247" customWidth="1"/>
    <col min="537" max="537" width="12.7109375" style="247" customWidth="1"/>
    <col min="538" max="538" width="12.42578125" style="247" customWidth="1"/>
    <col min="539" max="539" width="13.85546875" style="247" customWidth="1"/>
    <col min="540" max="540" width="20.28515625" style="247" customWidth="1"/>
    <col min="541" max="541" width="11.7109375" style="247" customWidth="1"/>
    <col min="542" max="542" width="17.42578125" style="247" customWidth="1"/>
    <col min="543" max="787" width="8.85546875" style="247"/>
    <col min="788" max="788" width="17.28515625" style="247" customWidth="1"/>
    <col min="789" max="789" width="12.7109375" style="247" customWidth="1"/>
    <col min="790" max="790" width="14.7109375" style="247" customWidth="1"/>
    <col min="791" max="791" width="12.42578125" style="247" customWidth="1"/>
    <col min="792" max="792" width="12.28515625" style="247" customWidth="1"/>
    <col min="793" max="793" width="12.7109375" style="247" customWidth="1"/>
    <col min="794" max="794" width="12.42578125" style="247" customWidth="1"/>
    <col min="795" max="795" width="13.85546875" style="247" customWidth="1"/>
    <col min="796" max="796" width="20.28515625" style="247" customWidth="1"/>
    <col min="797" max="797" width="11.7109375" style="247" customWidth="1"/>
    <col min="798" max="798" width="17.42578125" style="247" customWidth="1"/>
    <col min="799" max="1043" width="8.85546875" style="247"/>
    <col min="1044" max="1044" width="17.28515625" style="247" customWidth="1"/>
    <col min="1045" max="1045" width="12.7109375" style="247" customWidth="1"/>
    <col min="1046" max="1046" width="14.7109375" style="247" customWidth="1"/>
    <col min="1047" max="1047" width="12.42578125" style="247" customWidth="1"/>
    <col min="1048" max="1048" width="12.28515625" style="247" customWidth="1"/>
    <col min="1049" max="1049" width="12.7109375" style="247" customWidth="1"/>
    <col min="1050" max="1050" width="12.42578125" style="247" customWidth="1"/>
    <col min="1051" max="1051" width="13.85546875" style="247" customWidth="1"/>
    <col min="1052" max="1052" width="20.28515625" style="247" customWidth="1"/>
    <col min="1053" max="1053" width="11.7109375" style="247" customWidth="1"/>
    <col min="1054" max="1054" width="17.42578125" style="247" customWidth="1"/>
    <col min="1055" max="1299" width="8.85546875" style="247"/>
    <col min="1300" max="1300" width="17.28515625" style="247" customWidth="1"/>
    <col min="1301" max="1301" width="12.7109375" style="247" customWidth="1"/>
    <col min="1302" max="1302" width="14.7109375" style="247" customWidth="1"/>
    <col min="1303" max="1303" width="12.42578125" style="247" customWidth="1"/>
    <col min="1304" max="1304" width="12.28515625" style="247" customWidth="1"/>
    <col min="1305" max="1305" width="12.7109375" style="247" customWidth="1"/>
    <col min="1306" max="1306" width="12.42578125" style="247" customWidth="1"/>
    <col min="1307" max="1307" width="13.85546875" style="247" customWidth="1"/>
    <col min="1308" max="1308" width="20.28515625" style="247" customWidth="1"/>
    <col min="1309" max="1309" width="11.7109375" style="247" customWidth="1"/>
    <col min="1310" max="1310" width="17.42578125" style="247" customWidth="1"/>
    <col min="1311" max="1555" width="8.85546875" style="247"/>
    <col min="1556" max="1556" width="17.28515625" style="247" customWidth="1"/>
    <col min="1557" max="1557" width="12.7109375" style="247" customWidth="1"/>
    <col min="1558" max="1558" width="14.7109375" style="247" customWidth="1"/>
    <col min="1559" max="1559" width="12.42578125" style="247" customWidth="1"/>
    <col min="1560" max="1560" width="12.28515625" style="247" customWidth="1"/>
    <col min="1561" max="1561" width="12.7109375" style="247" customWidth="1"/>
    <col min="1562" max="1562" width="12.42578125" style="247" customWidth="1"/>
    <col min="1563" max="1563" width="13.85546875" style="247" customWidth="1"/>
    <col min="1564" max="1564" width="20.28515625" style="247" customWidth="1"/>
    <col min="1565" max="1565" width="11.7109375" style="247" customWidth="1"/>
    <col min="1566" max="1566" width="17.42578125" style="247" customWidth="1"/>
    <col min="1567" max="1811" width="8.85546875" style="247"/>
    <col min="1812" max="1812" width="17.28515625" style="247" customWidth="1"/>
    <col min="1813" max="1813" width="12.7109375" style="247" customWidth="1"/>
    <col min="1814" max="1814" width="14.7109375" style="247" customWidth="1"/>
    <col min="1815" max="1815" width="12.42578125" style="247" customWidth="1"/>
    <col min="1816" max="1816" width="12.28515625" style="247" customWidth="1"/>
    <col min="1817" max="1817" width="12.7109375" style="247" customWidth="1"/>
    <col min="1818" max="1818" width="12.42578125" style="247" customWidth="1"/>
    <col min="1819" max="1819" width="13.85546875" style="247" customWidth="1"/>
    <col min="1820" max="1820" width="20.28515625" style="247" customWidth="1"/>
    <col min="1821" max="1821" width="11.7109375" style="247" customWidth="1"/>
    <col min="1822" max="1822" width="17.42578125" style="247" customWidth="1"/>
    <col min="1823" max="2067" width="8.85546875" style="247"/>
    <col min="2068" max="2068" width="17.28515625" style="247" customWidth="1"/>
    <col min="2069" max="2069" width="12.7109375" style="247" customWidth="1"/>
    <col min="2070" max="2070" width="14.7109375" style="247" customWidth="1"/>
    <col min="2071" max="2071" width="12.42578125" style="247" customWidth="1"/>
    <col min="2072" max="2072" width="12.28515625" style="247" customWidth="1"/>
    <col min="2073" max="2073" width="12.7109375" style="247" customWidth="1"/>
    <col min="2074" max="2074" width="12.42578125" style="247" customWidth="1"/>
    <col min="2075" max="2075" width="13.85546875" style="247" customWidth="1"/>
    <col min="2076" max="2076" width="20.28515625" style="247" customWidth="1"/>
    <col min="2077" max="2077" width="11.7109375" style="247" customWidth="1"/>
    <col min="2078" max="2078" width="17.42578125" style="247" customWidth="1"/>
    <col min="2079" max="2323" width="8.85546875" style="247"/>
    <col min="2324" max="2324" width="17.28515625" style="247" customWidth="1"/>
    <col min="2325" max="2325" width="12.7109375" style="247" customWidth="1"/>
    <col min="2326" max="2326" width="14.7109375" style="247" customWidth="1"/>
    <col min="2327" max="2327" width="12.42578125" style="247" customWidth="1"/>
    <col min="2328" max="2328" width="12.28515625" style="247" customWidth="1"/>
    <col min="2329" max="2329" width="12.7109375" style="247" customWidth="1"/>
    <col min="2330" max="2330" width="12.42578125" style="247" customWidth="1"/>
    <col min="2331" max="2331" width="13.85546875" style="247" customWidth="1"/>
    <col min="2332" max="2332" width="20.28515625" style="247" customWidth="1"/>
    <col min="2333" max="2333" width="11.7109375" style="247" customWidth="1"/>
    <col min="2334" max="2334" width="17.42578125" style="247" customWidth="1"/>
    <col min="2335" max="2579" width="8.85546875" style="247"/>
    <col min="2580" max="2580" width="17.28515625" style="247" customWidth="1"/>
    <col min="2581" max="2581" width="12.7109375" style="247" customWidth="1"/>
    <col min="2582" max="2582" width="14.7109375" style="247" customWidth="1"/>
    <col min="2583" max="2583" width="12.42578125" style="247" customWidth="1"/>
    <col min="2584" max="2584" width="12.28515625" style="247" customWidth="1"/>
    <col min="2585" max="2585" width="12.7109375" style="247" customWidth="1"/>
    <col min="2586" max="2586" width="12.42578125" style="247" customWidth="1"/>
    <col min="2587" max="2587" width="13.85546875" style="247" customWidth="1"/>
    <col min="2588" max="2588" width="20.28515625" style="247" customWidth="1"/>
    <col min="2589" max="2589" width="11.7109375" style="247" customWidth="1"/>
    <col min="2590" max="2590" width="17.42578125" style="247" customWidth="1"/>
    <col min="2591" max="2835" width="8.85546875" style="247"/>
    <col min="2836" max="2836" width="17.28515625" style="247" customWidth="1"/>
    <col min="2837" max="2837" width="12.7109375" style="247" customWidth="1"/>
    <col min="2838" max="2838" width="14.7109375" style="247" customWidth="1"/>
    <col min="2839" max="2839" width="12.42578125" style="247" customWidth="1"/>
    <col min="2840" max="2840" width="12.28515625" style="247" customWidth="1"/>
    <col min="2841" max="2841" width="12.7109375" style="247" customWidth="1"/>
    <col min="2842" max="2842" width="12.42578125" style="247" customWidth="1"/>
    <col min="2843" max="2843" width="13.85546875" style="247" customWidth="1"/>
    <col min="2844" max="2844" width="20.28515625" style="247" customWidth="1"/>
    <col min="2845" max="2845" width="11.7109375" style="247" customWidth="1"/>
    <col min="2846" max="2846" width="17.42578125" style="247" customWidth="1"/>
    <col min="2847" max="3091" width="8.85546875" style="247"/>
    <col min="3092" max="3092" width="17.28515625" style="247" customWidth="1"/>
    <col min="3093" max="3093" width="12.7109375" style="247" customWidth="1"/>
    <col min="3094" max="3094" width="14.7109375" style="247" customWidth="1"/>
    <col min="3095" max="3095" width="12.42578125" style="247" customWidth="1"/>
    <col min="3096" max="3096" width="12.28515625" style="247" customWidth="1"/>
    <col min="3097" max="3097" width="12.7109375" style="247" customWidth="1"/>
    <col min="3098" max="3098" width="12.42578125" style="247" customWidth="1"/>
    <col min="3099" max="3099" width="13.85546875" style="247" customWidth="1"/>
    <col min="3100" max="3100" width="20.28515625" style="247" customWidth="1"/>
    <col min="3101" max="3101" width="11.7109375" style="247" customWidth="1"/>
    <col min="3102" max="3102" width="17.42578125" style="247" customWidth="1"/>
    <col min="3103" max="3347" width="8.85546875" style="247"/>
    <col min="3348" max="3348" width="17.28515625" style="247" customWidth="1"/>
    <col min="3349" max="3349" width="12.7109375" style="247" customWidth="1"/>
    <col min="3350" max="3350" width="14.7109375" style="247" customWidth="1"/>
    <col min="3351" max="3351" width="12.42578125" style="247" customWidth="1"/>
    <col min="3352" max="3352" width="12.28515625" style="247" customWidth="1"/>
    <col min="3353" max="3353" width="12.7109375" style="247" customWidth="1"/>
    <col min="3354" max="3354" width="12.42578125" style="247" customWidth="1"/>
    <col min="3355" max="3355" width="13.85546875" style="247" customWidth="1"/>
    <col min="3356" max="3356" width="20.28515625" style="247" customWidth="1"/>
    <col min="3357" max="3357" width="11.7109375" style="247" customWidth="1"/>
    <col min="3358" max="3358" width="17.42578125" style="247" customWidth="1"/>
    <col min="3359" max="3603" width="8.85546875" style="247"/>
    <col min="3604" max="3604" width="17.28515625" style="247" customWidth="1"/>
    <col min="3605" max="3605" width="12.7109375" style="247" customWidth="1"/>
    <col min="3606" max="3606" width="14.7109375" style="247" customWidth="1"/>
    <col min="3607" max="3607" width="12.42578125" style="247" customWidth="1"/>
    <col min="3608" max="3608" width="12.28515625" style="247" customWidth="1"/>
    <col min="3609" max="3609" width="12.7109375" style="247" customWidth="1"/>
    <col min="3610" max="3610" width="12.42578125" style="247" customWidth="1"/>
    <col min="3611" max="3611" width="13.85546875" style="247" customWidth="1"/>
    <col min="3612" max="3612" width="20.28515625" style="247" customWidth="1"/>
    <col min="3613" max="3613" width="11.7109375" style="247" customWidth="1"/>
    <col min="3614" max="3614" width="17.42578125" style="247" customWidth="1"/>
    <col min="3615" max="3859" width="8.85546875" style="247"/>
    <col min="3860" max="3860" width="17.28515625" style="247" customWidth="1"/>
    <col min="3861" max="3861" width="12.7109375" style="247" customWidth="1"/>
    <col min="3862" max="3862" width="14.7109375" style="247" customWidth="1"/>
    <col min="3863" max="3863" width="12.42578125" style="247" customWidth="1"/>
    <col min="3864" max="3864" width="12.28515625" style="247" customWidth="1"/>
    <col min="3865" max="3865" width="12.7109375" style="247" customWidth="1"/>
    <col min="3866" max="3866" width="12.42578125" style="247" customWidth="1"/>
    <col min="3867" max="3867" width="13.85546875" style="247" customWidth="1"/>
    <col min="3868" max="3868" width="20.28515625" style="247" customWidth="1"/>
    <col min="3869" max="3869" width="11.7109375" style="247" customWidth="1"/>
    <col min="3870" max="3870" width="17.42578125" style="247" customWidth="1"/>
    <col min="3871" max="4115" width="8.85546875" style="247"/>
    <col min="4116" max="4116" width="17.28515625" style="247" customWidth="1"/>
    <col min="4117" max="4117" width="12.7109375" style="247" customWidth="1"/>
    <col min="4118" max="4118" width="14.7109375" style="247" customWidth="1"/>
    <col min="4119" max="4119" width="12.42578125" style="247" customWidth="1"/>
    <col min="4120" max="4120" width="12.28515625" style="247" customWidth="1"/>
    <col min="4121" max="4121" width="12.7109375" style="247" customWidth="1"/>
    <col min="4122" max="4122" width="12.42578125" style="247" customWidth="1"/>
    <col min="4123" max="4123" width="13.85546875" style="247" customWidth="1"/>
    <col min="4124" max="4124" width="20.28515625" style="247" customWidth="1"/>
    <col min="4125" max="4125" width="11.7109375" style="247" customWidth="1"/>
    <col min="4126" max="4126" width="17.42578125" style="247" customWidth="1"/>
    <col min="4127" max="4371" width="8.85546875" style="247"/>
    <col min="4372" max="4372" width="17.28515625" style="247" customWidth="1"/>
    <col min="4373" max="4373" width="12.7109375" style="247" customWidth="1"/>
    <col min="4374" max="4374" width="14.7109375" style="247" customWidth="1"/>
    <col min="4375" max="4375" width="12.42578125" style="247" customWidth="1"/>
    <col min="4376" max="4376" width="12.28515625" style="247" customWidth="1"/>
    <col min="4377" max="4377" width="12.7109375" style="247" customWidth="1"/>
    <col min="4378" max="4378" width="12.42578125" style="247" customWidth="1"/>
    <col min="4379" max="4379" width="13.85546875" style="247" customWidth="1"/>
    <col min="4380" max="4380" width="20.28515625" style="247" customWidth="1"/>
    <col min="4381" max="4381" width="11.7109375" style="247" customWidth="1"/>
    <col min="4382" max="4382" width="17.42578125" style="247" customWidth="1"/>
    <col min="4383" max="4627" width="8.85546875" style="247"/>
    <col min="4628" max="4628" width="17.28515625" style="247" customWidth="1"/>
    <col min="4629" max="4629" width="12.7109375" style="247" customWidth="1"/>
    <col min="4630" max="4630" width="14.7109375" style="247" customWidth="1"/>
    <col min="4631" max="4631" width="12.42578125" style="247" customWidth="1"/>
    <col min="4632" max="4632" width="12.28515625" style="247" customWidth="1"/>
    <col min="4633" max="4633" width="12.7109375" style="247" customWidth="1"/>
    <col min="4634" max="4634" width="12.42578125" style="247" customWidth="1"/>
    <col min="4635" max="4635" width="13.85546875" style="247" customWidth="1"/>
    <col min="4636" max="4636" width="20.28515625" style="247" customWidth="1"/>
    <col min="4637" max="4637" width="11.7109375" style="247" customWidth="1"/>
    <col min="4638" max="4638" width="17.42578125" style="247" customWidth="1"/>
    <col min="4639" max="4883" width="8.85546875" style="247"/>
    <col min="4884" max="4884" width="17.28515625" style="247" customWidth="1"/>
    <col min="4885" max="4885" width="12.7109375" style="247" customWidth="1"/>
    <col min="4886" max="4886" width="14.7109375" style="247" customWidth="1"/>
    <col min="4887" max="4887" width="12.42578125" style="247" customWidth="1"/>
    <col min="4888" max="4888" width="12.28515625" style="247" customWidth="1"/>
    <col min="4889" max="4889" width="12.7109375" style="247" customWidth="1"/>
    <col min="4890" max="4890" width="12.42578125" style="247" customWidth="1"/>
    <col min="4891" max="4891" width="13.85546875" style="247" customWidth="1"/>
    <col min="4892" max="4892" width="20.28515625" style="247" customWidth="1"/>
    <col min="4893" max="4893" width="11.7109375" style="247" customWidth="1"/>
    <col min="4894" max="4894" width="17.42578125" style="247" customWidth="1"/>
    <col min="4895" max="5139" width="8.85546875" style="247"/>
    <col min="5140" max="5140" width="17.28515625" style="247" customWidth="1"/>
    <col min="5141" max="5141" width="12.7109375" style="247" customWidth="1"/>
    <col min="5142" max="5142" width="14.7109375" style="247" customWidth="1"/>
    <col min="5143" max="5143" width="12.42578125" style="247" customWidth="1"/>
    <col min="5144" max="5144" width="12.28515625" style="247" customWidth="1"/>
    <col min="5145" max="5145" width="12.7109375" style="247" customWidth="1"/>
    <col min="5146" max="5146" width="12.42578125" style="247" customWidth="1"/>
    <col min="5147" max="5147" width="13.85546875" style="247" customWidth="1"/>
    <col min="5148" max="5148" width="20.28515625" style="247" customWidth="1"/>
    <col min="5149" max="5149" width="11.7109375" style="247" customWidth="1"/>
    <col min="5150" max="5150" width="17.42578125" style="247" customWidth="1"/>
    <col min="5151" max="5395" width="8.85546875" style="247"/>
    <col min="5396" max="5396" width="17.28515625" style="247" customWidth="1"/>
    <col min="5397" max="5397" width="12.7109375" style="247" customWidth="1"/>
    <col min="5398" max="5398" width="14.7109375" style="247" customWidth="1"/>
    <col min="5399" max="5399" width="12.42578125" style="247" customWidth="1"/>
    <col min="5400" max="5400" width="12.28515625" style="247" customWidth="1"/>
    <col min="5401" max="5401" width="12.7109375" style="247" customWidth="1"/>
    <col min="5402" max="5402" width="12.42578125" style="247" customWidth="1"/>
    <col min="5403" max="5403" width="13.85546875" style="247" customWidth="1"/>
    <col min="5404" max="5404" width="20.28515625" style="247" customWidth="1"/>
    <col min="5405" max="5405" width="11.7109375" style="247" customWidth="1"/>
    <col min="5406" max="5406" width="17.42578125" style="247" customWidth="1"/>
    <col min="5407" max="5651" width="8.85546875" style="247"/>
    <col min="5652" max="5652" width="17.28515625" style="247" customWidth="1"/>
    <col min="5653" max="5653" width="12.7109375" style="247" customWidth="1"/>
    <col min="5654" max="5654" width="14.7109375" style="247" customWidth="1"/>
    <col min="5655" max="5655" width="12.42578125" style="247" customWidth="1"/>
    <col min="5656" max="5656" width="12.28515625" style="247" customWidth="1"/>
    <col min="5657" max="5657" width="12.7109375" style="247" customWidth="1"/>
    <col min="5658" max="5658" width="12.42578125" style="247" customWidth="1"/>
    <col min="5659" max="5659" width="13.85546875" style="247" customWidth="1"/>
    <col min="5660" max="5660" width="20.28515625" style="247" customWidth="1"/>
    <col min="5661" max="5661" width="11.7109375" style="247" customWidth="1"/>
    <col min="5662" max="5662" width="17.42578125" style="247" customWidth="1"/>
    <col min="5663" max="5907" width="8.85546875" style="247"/>
    <col min="5908" max="5908" width="17.28515625" style="247" customWidth="1"/>
    <col min="5909" max="5909" width="12.7109375" style="247" customWidth="1"/>
    <col min="5910" max="5910" width="14.7109375" style="247" customWidth="1"/>
    <col min="5911" max="5911" width="12.42578125" style="247" customWidth="1"/>
    <col min="5912" max="5912" width="12.28515625" style="247" customWidth="1"/>
    <col min="5913" max="5913" width="12.7109375" style="247" customWidth="1"/>
    <col min="5914" max="5914" width="12.42578125" style="247" customWidth="1"/>
    <col min="5915" max="5915" width="13.85546875" style="247" customWidth="1"/>
    <col min="5916" max="5916" width="20.28515625" style="247" customWidth="1"/>
    <col min="5917" max="5917" width="11.7109375" style="247" customWidth="1"/>
    <col min="5918" max="5918" width="17.42578125" style="247" customWidth="1"/>
    <col min="5919" max="6163" width="8.85546875" style="247"/>
    <col min="6164" max="6164" width="17.28515625" style="247" customWidth="1"/>
    <col min="6165" max="6165" width="12.7109375" style="247" customWidth="1"/>
    <col min="6166" max="6166" width="14.7109375" style="247" customWidth="1"/>
    <col min="6167" max="6167" width="12.42578125" style="247" customWidth="1"/>
    <col min="6168" max="6168" width="12.28515625" style="247" customWidth="1"/>
    <col min="6169" max="6169" width="12.7109375" style="247" customWidth="1"/>
    <col min="6170" max="6170" width="12.42578125" style="247" customWidth="1"/>
    <col min="6171" max="6171" width="13.85546875" style="247" customWidth="1"/>
    <col min="6172" max="6172" width="20.28515625" style="247" customWidth="1"/>
    <col min="6173" max="6173" width="11.7109375" style="247" customWidth="1"/>
    <col min="6174" max="6174" width="17.42578125" style="247" customWidth="1"/>
    <col min="6175" max="6419" width="8.85546875" style="247"/>
    <col min="6420" max="6420" width="17.28515625" style="247" customWidth="1"/>
    <col min="6421" max="6421" width="12.7109375" style="247" customWidth="1"/>
    <col min="6422" max="6422" width="14.7109375" style="247" customWidth="1"/>
    <col min="6423" max="6423" width="12.42578125" style="247" customWidth="1"/>
    <col min="6424" max="6424" width="12.28515625" style="247" customWidth="1"/>
    <col min="6425" max="6425" width="12.7109375" style="247" customWidth="1"/>
    <col min="6426" max="6426" width="12.42578125" style="247" customWidth="1"/>
    <col min="6427" max="6427" width="13.85546875" style="247" customWidth="1"/>
    <col min="6428" max="6428" width="20.28515625" style="247" customWidth="1"/>
    <col min="6429" max="6429" width="11.7109375" style="247" customWidth="1"/>
    <col min="6430" max="6430" width="17.42578125" style="247" customWidth="1"/>
    <col min="6431" max="6675" width="8.85546875" style="247"/>
    <col min="6676" max="6676" width="17.28515625" style="247" customWidth="1"/>
    <col min="6677" max="6677" width="12.7109375" style="247" customWidth="1"/>
    <col min="6678" max="6678" width="14.7109375" style="247" customWidth="1"/>
    <col min="6679" max="6679" width="12.42578125" style="247" customWidth="1"/>
    <col min="6680" max="6680" width="12.28515625" style="247" customWidth="1"/>
    <col min="6681" max="6681" width="12.7109375" style="247" customWidth="1"/>
    <col min="6682" max="6682" width="12.42578125" style="247" customWidth="1"/>
    <col min="6683" max="6683" width="13.85546875" style="247" customWidth="1"/>
    <col min="6684" max="6684" width="20.28515625" style="247" customWidth="1"/>
    <col min="6685" max="6685" width="11.7109375" style="247" customWidth="1"/>
    <col min="6686" max="6686" width="17.42578125" style="247" customWidth="1"/>
    <col min="6687" max="6931" width="8.85546875" style="247"/>
    <col min="6932" max="6932" width="17.28515625" style="247" customWidth="1"/>
    <col min="6933" max="6933" width="12.7109375" style="247" customWidth="1"/>
    <col min="6934" max="6934" width="14.7109375" style="247" customWidth="1"/>
    <col min="6935" max="6935" width="12.42578125" style="247" customWidth="1"/>
    <col min="6936" max="6936" width="12.28515625" style="247" customWidth="1"/>
    <col min="6937" max="6937" width="12.7109375" style="247" customWidth="1"/>
    <col min="6938" max="6938" width="12.42578125" style="247" customWidth="1"/>
    <col min="6939" max="6939" width="13.85546875" style="247" customWidth="1"/>
    <col min="6940" max="6940" width="20.28515625" style="247" customWidth="1"/>
    <col min="6941" max="6941" width="11.7109375" style="247" customWidth="1"/>
    <col min="6942" max="6942" width="17.42578125" style="247" customWidth="1"/>
    <col min="6943" max="7187" width="8.85546875" style="247"/>
    <col min="7188" max="7188" width="17.28515625" style="247" customWidth="1"/>
    <col min="7189" max="7189" width="12.7109375" style="247" customWidth="1"/>
    <col min="7190" max="7190" width="14.7109375" style="247" customWidth="1"/>
    <col min="7191" max="7191" width="12.42578125" style="247" customWidth="1"/>
    <col min="7192" max="7192" width="12.28515625" style="247" customWidth="1"/>
    <col min="7193" max="7193" width="12.7109375" style="247" customWidth="1"/>
    <col min="7194" max="7194" width="12.42578125" style="247" customWidth="1"/>
    <col min="7195" max="7195" width="13.85546875" style="247" customWidth="1"/>
    <col min="7196" max="7196" width="20.28515625" style="247" customWidth="1"/>
    <col min="7197" max="7197" width="11.7109375" style="247" customWidth="1"/>
    <col min="7198" max="7198" width="17.42578125" style="247" customWidth="1"/>
    <col min="7199" max="7443" width="8.85546875" style="247"/>
    <col min="7444" max="7444" width="17.28515625" style="247" customWidth="1"/>
    <col min="7445" max="7445" width="12.7109375" style="247" customWidth="1"/>
    <col min="7446" max="7446" width="14.7109375" style="247" customWidth="1"/>
    <col min="7447" max="7447" width="12.42578125" style="247" customWidth="1"/>
    <col min="7448" max="7448" width="12.28515625" style="247" customWidth="1"/>
    <col min="7449" max="7449" width="12.7109375" style="247" customWidth="1"/>
    <col min="7450" max="7450" width="12.42578125" style="247" customWidth="1"/>
    <col min="7451" max="7451" width="13.85546875" style="247" customWidth="1"/>
    <col min="7452" max="7452" width="20.28515625" style="247" customWidth="1"/>
    <col min="7453" max="7453" width="11.7109375" style="247" customWidth="1"/>
    <col min="7454" max="7454" width="17.42578125" style="247" customWidth="1"/>
    <col min="7455" max="7699" width="8.85546875" style="247"/>
    <col min="7700" max="7700" width="17.28515625" style="247" customWidth="1"/>
    <col min="7701" max="7701" width="12.7109375" style="247" customWidth="1"/>
    <col min="7702" max="7702" width="14.7109375" style="247" customWidth="1"/>
    <col min="7703" max="7703" width="12.42578125" style="247" customWidth="1"/>
    <col min="7704" max="7704" width="12.28515625" style="247" customWidth="1"/>
    <col min="7705" max="7705" width="12.7109375" style="247" customWidth="1"/>
    <col min="7706" max="7706" width="12.42578125" style="247" customWidth="1"/>
    <col min="7707" max="7707" width="13.85546875" style="247" customWidth="1"/>
    <col min="7708" max="7708" width="20.28515625" style="247" customWidth="1"/>
    <col min="7709" max="7709" width="11.7109375" style="247" customWidth="1"/>
    <col min="7710" max="7710" width="17.42578125" style="247" customWidth="1"/>
    <col min="7711" max="7955" width="8.85546875" style="247"/>
    <col min="7956" max="7956" width="17.28515625" style="247" customWidth="1"/>
    <col min="7957" max="7957" width="12.7109375" style="247" customWidth="1"/>
    <col min="7958" max="7958" width="14.7109375" style="247" customWidth="1"/>
    <col min="7959" max="7959" width="12.42578125" style="247" customWidth="1"/>
    <col min="7960" max="7960" width="12.28515625" style="247" customWidth="1"/>
    <col min="7961" max="7961" width="12.7109375" style="247" customWidth="1"/>
    <col min="7962" max="7962" width="12.42578125" style="247" customWidth="1"/>
    <col min="7963" max="7963" width="13.85546875" style="247" customWidth="1"/>
    <col min="7964" max="7964" width="20.28515625" style="247" customWidth="1"/>
    <col min="7965" max="7965" width="11.7109375" style="247" customWidth="1"/>
    <col min="7966" max="7966" width="17.42578125" style="247" customWidth="1"/>
    <col min="7967" max="8211" width="8.85546875" style="247"/>
    <col min="8212" max="8212" width="17.28515625" style="247" customWidth="1"/>
    <col min="8213" max="8213" width="12.7109375" style="247" customWidth="1"/>
    <col min="8214" max="8214" width="14.7109375" style="247" customWidth="1"/>
    <col min="8215" max="8215" width="12.42578125" style="247" customWidth="1"/>
    <col min="8216" max="8216" width="12.28515625" style="247" customWidth="1"/>
    <col min="8217" max="8217" width="12.7109375" style="247" customWidth="1"/>
    <col min="8218" max="8218" width="12.42578125" style="247" customWidth="1"/>
    <col min="8219" max="8219" width="13.85546875" style="247" customWidth="1"/>
    <col min="8220" max="8220" width="20.28515625" style="247" customWidth="1"/>
    <col min="8221" max="8221" width="11.7109375" style="247" customWidth="1"/>
    <col min="8222" max="8222" width="17.42578125" style="247" customWidth="1"/>
    <col min="8223" max="8467" width="8.85546875" style="247"/>
    <col min="8468" max="8468" width="17.28515625" style="247" customWidth="1"/>
    <col min="8469" max="8469" width="12.7109375" style="247" customWidth="1"/>
    <col min="8470" max="8470" width="14.7109375" style="247" customWidth="1"/>
    <col min="8471" max="8471" width="12.42578125" style="247" customWidth="1"/>
    <col min="8472" max="8472" width="12.28515625" style="247" customWidth="1"/>
    <col min="8473" max="8473" width="12.7109375" style="247" customWidth="1"/>
    <col min="8474" max="8474" width="12.42578125" style="247" customWidth="1"/>
    <col min="8475" max="8475" width="13.85546875" style="247" customWidth="1"/>
    <col min="8476" max="8476" width="20.28515625" style="247" customWidth="1"/>
    <col min="8477" max="8477" width="11.7109375" style="247" customWidth="1"/>
    <col min="8478" max="8478" width="17.42578125" style="247" customWidth="1"/>
    <col min="8479" max="8723" width="8.85546875" style="247"/>
    <col min="8724" max="8724" width="17.28515625" style="247" customWidth="1"/>
    <col min="8725" max="8725" width="12.7109375" style="247" customWidth="1"/>
    <col min="8726" max="8726" width="14.7109375" style="247" customWidth="1"/>
    <col min="8727" max="8727" width="12.42578125" style="247" customWidth="1"/>
    <col min="8728" max="8728" width="12.28515625" style="247" customWidth="1"/>
    <col min="8729" max="8729" width="12.7109375" style="247" customWidth="1"/>
    <col min="8730" max="8730" width="12.42578125" style="247" customWidth="1"/>
    <col min="8731" max="8731" width="13.85546875" style="247" customWidth="1"/>
    <col min="8732" max="8732" width="20.28515625" style="247" customWidth="1"/>
    <col min="8733" max="8733" width="11.7109375" style="247" customWidth="1"/>
    <col min="8734" max="8734" width="17.42578125" style="247" customWidth="1"/>
    <col min="8735" max="8979" width="8.85546875" style="247"/>
    <col min="8980" max="8980" width="17.28515625" style="247" customWidth="1"/>
    <col min="8981" max="8981" width="12.7109375" style="247" customWidth="1"/>
    <col min="8982" max="8982" width="14.7109375" style="247" customWidth="1"/>
    <col min="8983" max="8983" width="12.42578125" style="247" customWidth="1"/>
    <col min="8984" max="8984" width="12.28515625" style="247" customWidth="1"/>
    <col min="8985" max="8985" width="12.7109375" style="247" customWidth="1"/>
    <col min="8986" max="8986" width="12.42578125" style="247" customWidth="1"/>
    <col min="8987" max="8987" width="13.85546875" style="247" customWidth="1"/>
    <col min="8988" max="8988" width="20.28515625" style="247" customWidth="1"/>
    <col min="8989" max="8989" width="11.7109375" style="247" customWidth="1"/>
    <col min="8990" max="8990" width="17.42578125" style="247" customWidth="1"/>
    <col min="8991" max="9235" width="8.85546875" style="247"/>
    <col min="9236" max="9236" width="17.28515625" style="247" customWidth="1"/>
    <col min="9237" max="9237" width="12.7109375" style="247" customWidth="1"/>
    <col min="9238" max="9238" width="14.7109375" style="247" customWidth="1"/>
    <col min="9239" max="9239" width="12.42578125" style="247" customWidth="1"/>
    <col min="9240" max="9240" width="12.28515625" style="247" customWidth="1"/>
    <col min="9241" max="9241" width="12.7109375" style="247" customWidth="1"/>
    <col min="9242" max="9242" width="12.42578125" style="247" customWidth="1"/>
    <col min="9243" max="9243" width="13.85546875" style="247" customWidth="1"/>
    <col min="9244" max="9244" width="20.28515625" style="247" customWidth="1"/>
    <col min="9245" max="9245" width="11.7109375" style="247" customWidth="1"/>
    <col min="9246" max="9246" width="17.42578125" style="247" customWidth="1"/>
    <col min="9247" max="9491" width="8.85546875" style="247"/>
    <col min="9492" max="9492" width="17.28515625" style="247" customWidth="1"/>
    <col min="9493" max="9493" width="12.7109375" style="247" customWidth="1"/>
    <col min="9494" max="9494" width="14.7109375" style="247" customWidth="1"/>
    <col min="9495" max="9495" width="12.42578125" style="247" customWidth="1"/>
    <col min="9496" max="9496" width="12.28515625" style="247" customWidth="1"/>
    <col min="9497" max="9497" width="12.7109375" style="247" customWidth="1"/>
    <col min="9498" max="9498" width="12.42578125" style="247" customWidth="1"/>
    <col min="9499" max="9499" width="13.85546875" style="247" customWidth="1"/>
    <col min="9500" max="9500" width="20.28515625" style="247" customWidth="1"/>
    <col min="9501" max="9501" width="11.7109375" style="247" customWidth="1"/>
    <col min="9502" max="9502" width="17.42578125" style="247" customWidth="1"/>
    <col min="9503" max="9747" width="8.85546875" style="247"/>
    <col min="9748" max="9748" width="17.28515625" style="247" customWidth="1"/>
    <col min="9749" max="9749" width="12.7109375" style="247" customWidth="1"/>
    <col min="9750" max="9750" width="14.7109375" style="247" customWidth="1"/>
    <col min="9751" max="9751" width="12.42578125" style="247" customWidth="1"/>
    <col min="9752" max="9752" width="12.28515625" style="247" customWidth="1"/>
    <col min="9753" max="9753" width="12.7109375" style="247" customWidth="1"/>
    <col min="9754" max="9754" width="12.42578125" style="247" customWidth="1"/>
    <col min="9755" max="9755" width="13.85546875" style="247" customWidth="1"/>
    <col min="9756" max="9756" width="20.28515625" style="247" customWidth="1"/>
    <col min="9757" max="9757" width="11.7109375" style="247" customWidth="1"/>
    <col min="9758" max="9758" width="17.42578125" style="247" customWidth="1"/>
    <col min="9759" max="10003" width="8.85546875" style="247"/>
    <col min="10004" max="10004" width="17.28515625" style="247" customWidth="1"/>
    <col min="10005" max="10005" width="12.7109375" style="247" customWidth="1"/>
    <col min="10006" max="10006" width="14.7109375" style="247" customWidth="1"/>
    <col min="10007" max="10007" width="12.42578125" style="247" customWidth="1"/>
    <col min="10008" max="10008" width="12.28515625" style="247" customWidth="1"/>
    <col min="10009" max="10009" width="12.7109375" style="247" customWidth="1"/>
    <col min="10010" max="10010" width="12.42578125" style="247" customWidth="1"/>
    <col min="10011" max="10011" width="13.85546875" style="247" customWidth="1"/>
    <col min="10012" max="10012" width="20.28515625" style="247" customWidth="1"/>
    <col min="10013" max="10013" width="11.7109375" style="247" customWidth="1"/>
    <col min="10014" max="10014" width="17.42578125" style="247" customWidth="1"/>
    <col min="10015" max="10259" width="8.85546875" style="247"/>
    <col min="10260" max="10260" width="17.28515625" style="247" customWidth="1"/>
    <col min="10261" max="10261" width="12.7109375" style="247" customWidth="1"/>
    <col min="10262" max="10262" width="14.7109375" style="247" customWidth="1"/>
    <col min="10263" max="10263" width="12.42578125" style="247" customWidth="1"/>
    <col min="10264" max="10264" width="12.28515625" style="247" customWidth="1"/>
    <col min="10265" max="10265" width="12.7109375" style="247" customWidth="1"/>
    <col min="10266" max="10266" width="12.42578125" style="247" customWidth="1"/>
    <col min="10267" max="10267" width="13.85546875" style="247" customWidth="1"/>
    <col min="10268" max="10268" width="20.28515625" style="247" customWidth="1"/>
    <col min="10269" max="10269" width="11.7109375" style="247" customWidth="1"/>
    <col min="10270" max="10270" width="17.42578125" style="247" customWidth="1"/>
    <col min="10271" max="10515" width="8.85546875" style="247"/>
    <col min="10516" max="10516" width="17.28515625" style="247" customWidth="1"/>
    <col min="10517" max="10517" width="12.7109375" style="247" customWidth="1"/>
    <col min="10518" max="10518" width="14.7109375" style="247" customWidth="1"/>
    <col min="10519" max="10519" width="12.42578125" style="247" customWidth="1"/>
    <col min="10520" max="10520" width="12.28515625" style="247" customWidth="1"/>
    <col min="10521" max="10521" width="12.7109375" style="247" customWidth="1"/>
    <col min="10522" max="10522" width="12.42578125" style="247" customWidth="1"/>
    <col min="10523" max="10523" width="13.85546875" style="247" customWidth="1"/>
    <col min="10524" max="10524" width="20.28515625" style="247" customWidth="1"/>
    <col min="10525" max="10525" width="11.7109375" style="247" customWidth="1"/>
    <col min="10526" max="10526" width="17.42578125" style="247" customWidth="1"/>
    <col min="10527" max="10771" width="8.85546875" style="247"/>
    <col min="10772" max="10772" width="17.28515625" style="247" customWidth="1"/>
    <col min="10773" max="10773" width="12.7109375" style="247" customWidth="1"/>
    <col min="10774" max="10774" width="14.7109375" style="247" customWidth="1"/>
    <col min="10775" max="10775" width="12.42578125" style="247" customWidth="1"/>
    <col min="10776" max="10776" width="12.28515625" style="247" customWidth="1"/>
    <col min="10777" max="10777" width="12.7109375" style="247" customWidth="1"/>
    <col min="10778" max="10778" width="12.42578125" style="247" customWidth="1"/>
    <col min="10779" max="10779" width="13.85546875" style="247" customWidth="1"/>
    <col min="10780" max="10780" width="20.28515625" style="247" customWidth="1"/>
    <col min="10781" max="10781" width="11.7109375" style="247" customWidth="1"/>
    <col min="10782" max="10782" width="17.42578125" style="247" customWidth="1"/>
    <col min="10783" max="11027" width="8.85546875" style="247"/>
    <col min="11028" max="11028" width="17.28515625" style="247" customWidth="1"/>
    <col min="11029" max="11029" width="12.7109375" style="247" customWidth="1"/>
    <col min="11030" max="11030" width="14.7109375" style="247" customWidth="1"/>
    <col min="11031" max="11031" width="12.42578125" style="247" customWidth="1"/>
    <col min="11032" max="11032" width="12.28515625" style="247" customWidth="1"/>
    <col min="11033" max="11033" width="12.7109375" style="247" customWidth="1"/>
    <col min="11034" max="11034" width="12.42578125" style="247" customWidth="1"/>
    <col min="11035" max="11035" width="13.85546875" style="247" customWidth="1"/>
    <col min="11036" max="11036" width="20.28515625" style="247" customWidth="1"/>
    <col min="11037" max="11037" width="11.7109375" style="247" customWidth="1"/>
    <col min="11038" max="11038" width="17.42578125" style="247" customWidth="1"/>
    <col min="11039" max="11283" width="8.85546875" style="247"/>
    <col min="11284" max="11284" width="17.28515625" style="247" customWidth="1"/>
    <col min="11285" max="11285" width="12.7109375" style="247" customWidth="1"/>
    <col min="11286" max="11286" width="14.7109375" style="247" customWidth="1"/>
    <col min="11287" max="11287" width="12.42578125" style="247" customWidth="1"/>
    <col min="11288" max="11288" width="12.28515625" style="247" customWidth="1"/>
    <col min="11289" max="11289" width="12.7109375" style="247" customWidth="1"/>
    <col min="11290" max="11290" width="12.42578125" style="247" customWidth="1"/>
    <col min="11291" max="11291" width="13.85546875" style="247" customWidth="1"/>
    <col min="11292" max="11292" width="20.28515625" style="247" customWidth="1"/>
    <col min="11293" max="11293" width="11.7109375" style="247" customWidth="1"/>
    <col min="11294" max="11294" width="17.42578125" style="247" customWidth="1"/>
    <col min="11295" max="11539" width="8.85546875" style="247"/>
    <col min="11540" max="11540" width="17.28515625" style="247" customWidth="1"/>
    <col min="11541" max="11541" width="12.7109375" style="247" customWidth="1"/>
    <col min="11542" max="11542" width="14.7109375" style="247" customWidth="1"/>
    <col min="11543" max="11543" width="12.42578125" style="247" customWidth="1"/>
    <col min="11544" max="11544" width="12.28515625" style="247" customWidth="1"/>
    <col min="11545" max="11545" width="12.7109375" style="247" customWidth="1"/>
    <col min="11546" max="11546" width="12.42578125" style="247" customWidth="1"/>
    <col min="11547" max="11547" width="13.85546875" style="247" customWidth="1"/>
    <col min="11548" max="11548" width="20.28515625" style="247" customWidth="1"/>
    <col min="11549" max="11549" width="11.7109375" style="247" customWidth="1"/>
    <col min="11550" max="11550" width="17.42578125" style="247" customWidth="1"/>
    <col min="11551" max="11795" width="8.85546875" style="247"/>
    <col min="11796" max="11796" width="17.28515625" style="247" customWidth="1"/>
    <col min="11797" max="11797" width="12.7109375" style="247" customWidth="1"/>
    <col min="11798" max="11798" width="14.7109375" style="247" customWidth="1"/>
    <col min="11799" max="11799" width="12.42578125" style="247" customWidth="1"/>
    <col min="11800" max="11800" width="12.28515625" style="247" customWidth="1"/>
    <col min="11801" max="11801" width="12.7109375" style="247" customWidth="1"/>
    <col min="11802" max="11802" width="12.42578125" style="247" customWidth="1"/>
    <col min="11803" max="11803" width="13.85546875" style="247" customWidth="1"/>
    <col min="11804" max="11804" width="20.28515625" style="247" customWidth="1"/>
    <col min="11805" max="11805" width="11.7109375" style="247" customWidth="1"/>
    <col min="11806" max="11806" width="17.42578125" style="247" customWidth="1"/>
    <col min="11807" max="12051" width="8.85546875" style="247"/>
    <col min="12052" max="12052" width="17.28515625" style="247" customWidth="1"/>
    <col min="12053" max="12053" width="12.7109375" style="247" customWidth="1"/>
    <col min="12054" max="12054" width="14.7109375" style="247" customWidth="1"/>
    <col min="12055" max="12055" width="12.42578125" style="247" customWidth="1"/>
    <col min="12056" max="12056" width="12.28515625" style="247" customWidth="1"/>
    <col min="12057" max="12057" width="12.7109375" style="247" customWidth="1"/>
    <col min="12058" max="12058" width="12.42578125" style="247" customWidth="1"/>
    <col min="12059" max="12059" width="13.85546875" style="247" customWidth="1"/>
    <col min="12060" max="12060" width="20.28515625" style="247" customWidth="1"/>
    <col min="12061" max="12061" width="11.7109375" style="247" customWidth="1"/>
    <col min="12062" max="12062" width="17.42578125" style="247" customWidth="1"/>
    <col min="12063" max="12307" width="8.85546875" style="247"/>
    <col min="12308" max="12308" width="17.28515625" style="247" customWidth="1"/>
    <col min="12309" max="12309" width="12.7109375" style="247" customWidth="1"/>
    <col min="12310" max="12310" width="14.7109375" style="247" customWidth="1"/>
    <col min="12311" max="12311" width="12.42578125" style="247" customWidth="1"/>
    <col min="12312" max="12312" width="12.28515625" style="247" customWidth="1"/>
    <col min="12313" max="12313" width="12.7109375" style="247" customWidth="1"/>
    <col min="12314" max="12314" width="12.42578125" style="247" customWidth="1"/>
    <col min="12315" max="12315" width="13.85546875" style="247" customWidth="1"/>
    <col min="12316" max="12316" width="20.28515625" style="247" customWidth="1"/>
    <col min="12317" max="12317" width="11.7109375" style="247" customWidth="1"/>
    <col min="12318" max="12318" width="17.42578125" style="247" customWidth="1"/>
    <col min="12319" max="12563" width="8.85546875" style="247"/>
    <col min="12564" max="12564" width="17.28515625" style="247" customWidth="1"/>
    <col min="12565" max="12565" width="12.7109375" style="247" customWidth="1"/>
    <col min="12566" max="12566" width="14.7109375" style="247" customWidth="1"/>
    <col min="12567" max="12567" width="12.42578125" style="247" customWidth="1"/>
    <col min="12568" max="12568" width="12.28515625" style="247" customWidth="1"/>
    <col min="12569" max="12569" width="12.7109375" style="247" customWidth="1"/>
    <col min="12570" max="12570" width="12.42578125" style="247" customWidth="1"/>
    <col min="12571" max="12571" width="13.85546875" style="247" customWidth="1"/>
    <col min="12572" max="12572" width="20.28515625" style="247" customWidth="1"/>
    <col min="12573" max="12573" width="11.7109375" style="247" customWidth="1"/>
    <col min="12574" max="12574" width="17.42578125" style="247" customWidth="1"/>
    <col min="12575" max="12819" width="8.85546875" style="247"/>
    <col min="12820" max="12820" width="17.28515625" style="247" customWidth="1"/>
    <col min="12821" max="12821" width="12.7109375" style="247" customWidth="1"/>
    <col min="12822" max="12822" width="14.7109375" style="247" customWidth="1"/>
    <col min="12823" max="12823" width="12.42578125" style="247" customWidth="1"/>
    <col min="12824" max="12824" width="12.28515625" style="247" customWidth="1"/>
    <col min="12825" max="12825" width="12.7109375" style="247" customWidth="1"/>
    <col min="12826" max="12826" width="12.42578125" style="247" customWidth="1"/>
    <col min="12827" max="12827" width="13.85546875" style="247" customWidth="1"/>
    <col min="12828" max="12828" width="20.28515625" style="247" customWidth="1"/>
    <col min="12829" max="12829" width="11.7109375" style="247" customWidth="1"/>
    <col min="12830" max="12830" width="17.42578125" style="247" customWidth="1"/>
    <col min="12831" max="13075" width="8.85546875" style="247"/>
    <col min="13076" max="13076" width="17.28515625" style="247" customWidth="1"/>
    <col min="13077" max="13077" width="12.7109375" style="247" customWidth="1"/>
    <col min="13078" max="13078" width="14.7109375" style="247" customWidth="1"/>
    <col min="13079" max="13079" width="12.42578125" style="247" customWidth="1"/>
    <col min="13080" max="13080" width="12.28515625" style="247" customWidth="1"/>
    <col min="13081" max="13081" width="12.7109375" style="247" customWidth="1"/>
    <col min="13082" max="13082" width="12.42578125" style="247" customWidth="1"/>
    <col min="13083" max="13083" width="13.85546875" style="247" customWidth="1"/>
    <col min="13084" max="13084" width="20.28515625" style="247" customWidth="1"/>
    <col min="13085" max="13085" width="11.7109375" style="247" customWidth="1"/>
    <col min="13086" max="13086" width="17.42578125" style="247" customWidth="1"/>
    <col min="13087" max="13331" width="8.85546875" style="247"/>
    <col min="13332" max="13332" width="17.28515625" style="247" customWidth="1"/>
    <col min="13333" max="13333" width="12.7109375" style="247" customWidth="1"/>
    <col min="13334" max="13334" width="14.7109375" style="247" customWidth="1"/>
    <col min="13335" max="13335" width="12.42578125" style="247" customWidth="1"/>
    <col min="13336" max="13336" width="12.28515625" style="247" customWidth="1"/>
    <col min="13337" max="13337" width="12.7109375" style="247" customWidth="1"/>
    <col min="13338" max="13338" width="12.42578125" style="247" customWidth="1"/>
    <col min="13339" max="13339" width="13.85546875" style="247" customWidth="1"/>
    <col min="13340" max="13340" width="20.28515625" style="247" customWidth="1"/>
    <col min="13341" max="13341" width="11.7109375" style="247" customWidth="1"/>
    <col min="13342" max="13342" width="17.42578125" style="247" customWidth="1"/>
    <col min="13343" max="13587" width="8.85546875" style="247"/>
    <col min="13588" max="13588" width="17.28515625" style="247" customWidth="1"/>
    <col min="13589" max="13589" width="12.7109375" style="247" customWidth="1"/>
    <col min="13590" max="13590" width="14.7109375" style="247" customWidth="1"/>
    <col min="13591" max="13591" width="12.42578125" style="247" customWidth="1"/>
    <col min="13592" max="13592" width="12.28515625" style="247" customWidth="1"/>
    <col min="13593" max="13593" width="12.7109375" style="247" customWidth="1"/>
    <col min="13594" max="13594" width="12.42578125" style="247" customWidth="1"/>
    <col min="13595" max="13595" width="13.85546875" style="247" customWidth="1"/>
    <col min="13596" max="13596" width="20.28515625" style="247" customWidth="1"/>
    <col min="13597" max="13597" width="11.7109375" style="247" customWidth="1"/>
    <col min="13598" max="13598" width="17.42578125" style="247" customWidth="1"/>
    <col min="13599" max="13843" width="8.85546875" style="247"/>
    <col min="13844" max="13844" width="17.28515625" style="247" customWidth="1"/>
    <col min="13845" max="13845" width="12.7109375" style="247" customWidth="1"/>
    <col min="13846" max="13846" width="14.7109375" style="247" customWidth="1"/>
    <col min="13847" max="13847" width="12.42578125" style="247" customWidth="1"/>
    <col min="13848" max="13848" width="12.28515625" style="247" customWidth="1"/>
    <col min="13849" max="13849" width="12.7109375" style="247" customWidth="1"/>
    <col min="13850" max="13850" width="12.42578125" style="247" customWidth="1"/>
    <col min="13851" max="13851" width="13.85546875" style="247" customWidth="1"/>
    <col min="13852" max="13852" width="20.28515625" style="247" customWidth="1"/>
    <col min="13853" max="13853" width="11.7109375" style="247" customWidth="1"/>
    <col min="13854" max="13854" width="17.42578125" style="247" customWidth="1"/>
    <col min="13855" max="14099" width="8.85546875" style="247"/>
    <col min="14100" max="14100" width="17.28515625" style="247" customWidth="1"/>
    <col min="14101" max="14101" width="12.7109375" style="247" customWidth="1"/>
    <col min="14102" max="14102" width="14.7109375" style="247" customWidth="1"/>
    <col min="14103" max="14103" width="12.42578125" style="247" customWidth="1"/>
    <col min="14104" max="14104" width="12.28515625" style="247" customWidth="1"/>
    <col min="14105" max="14105" width="12.7109375" style="247" customWidth="1"/>
    <col min="14106" max="14106" width="12.42578125" style="247" customWidth="1"/>
    <col min="14107" max="14107" width="13.85546875" style="247" customWidth="1"/>
    <col min="14108" max="14108" width="20.28515625" style="247" customWidth="1"/>
    <col min="14109" max="14109" width="11.7109375" style="247" customWidth="1"/>
    <col min="14110" max="14110" width="17.42578125" style="247" customWidth="1"/>
    <col min="14111" max="14355" width="8.85546875" style="247"/>
    <col min="14356" max="14356" width="17.28515625" style="247" customWidth="1"/>
    <col min="14357" max="14357" width="12.7109375" style="247" customWidth="1"/>
    <col min="14358" max="14358" width="14.7109375" style="247" customWidth="1"/>
    <col min="14359" max="14359" width="12.42578125" style="247" customWidth="1"/>
    <col min="14360" max="14360" width="12.28515625" style="247" customWidth="1"/>
    <col min="14361" max="14361" width="12.7109375" style="247" customWidth="1"/>
    <col min="14362" max="14362" width="12.42578125" style="247" customWidth="1"/>
    <col min="14363" max="14363" width="13.85546875" style="247" customWidth="1"/>
    <col min="14364" max="14364" width="20.28515625" style="247" customWidth="1"/>
    <col min="14365" max="14365" width="11.7109375" style="247" customWidth="1"/>
    <col min="14366" max="14366" width="17.42578125" style="247" customWidth="1"/>
    <col min="14367" max="14611" width="8.85546875" style="247"/>
    <col min="14612" max="14612" width="17.28515625" style="247" customWidth="1"/>
    <col min="14613" max="14613" width="12.7109375" style="247" customWidth="1"/>
    <col min="14614" max="14614" width="14.7109375" style="247" customWidth="1"/>
    <col min="14615" max="14615" width="12.42578125" style="247" customWidth="1"/>
    <col min="14616" max="14616" width="12.28515625" style="247" customWidth="1"/>
    <col min="14617" max="14617" width="12.7109375" style="247" customWidth="1"/>
    <col min="14618" max="14618" width="12.42578125" style="247" customWidth="1"/>
    <col min="14619" max="14619" width="13.85546875" style="247" customWidth="1"/>
    <col min="14620" max="14620" width="20.28515625" style="247" customWidth="1"/>
    <col min="14621" max="14621" width="11.7109375" style="247" customWidth="1"/>
    <col min="14622" max="14622" width="17.42578125" style="247" customWidth="1"/>
    <col min="14623" max="14867" width="8.85546875" style="247"/>
    <col min="14868" max="14868" width="17.28515625" style="247" customWidth="1"/>
    <col min="14869" max="14869" width="12.7109375" style="247" customWidth="1"/>
    <col min="14870" max="14870" width="14.7109375" style="247" customWidth="1"/>
    <col min="14871" max="14871" width="12.42578125" style="247" customWidth="1"/>
    <col min="14872" max="14872" width="12.28515625" style="247" customWidth="1"/>
    <col min="14873" max="14873" width="12.7109375" style="247" customWidth="1"/>
    <col min="14874" max="14874" width="12.42578125" style="247" customWidth="1"/>
    <col min="14875" max="14875" width="13.85546875" style="247" customWidth="1"/>
    <col min="14876" max="14876" width="20.28515625" style="247" customWidth="1"/>
    <col min="14877" max="14877" width="11.7109375" style="247" customWidth="1"/>
    <col min="14878" max="14878" width="17.42578125" style="247" customWidth="1"/>
    <col min="14879" max="15123" width="8.85546875" style="247"/>
    <col min="15124" max="15124" width="17.28515625" style="247" customWidth="1"/>
    <col min="15125" max="15125" width="12.7109375" style="247" customWidth="1"/>
    <col min="15126" max="15126" width="14.7109375" style="247" customWidth="1"/>
    <col min="15127" max="15127" width="12.42578125" style="247" customWidth="1"/>
    <col min="15128" max="15128" width="12.28515625" style="247" customWidth="1"/>
    <col min="15129" max="15129" width="12.7109375" style="247" customWidth="1"/>
    <col min="15130" max="15130" width="12.42578125" style="247" customWidth="1"/>
    <col min="15131" max="15131" width="13.85546875" style="247" customWidth="1"/>
    <col min="15132" max="15132" width="20.28515625" style="247" customWidth="1"/>
    <col min="15133" max="15133" width="11.7109375" style="247" customWidth="1"/>
    <col min="15134" max="15134" width="17.42578125" style="247" customWidth="1"/>
    <col min="15135" max="15379" width="8.85546875" style="247"/>
    <col min="15380" max="15380" width="17.28515625" style="247" customWidth="1"/>
    <col min="15381" max="15381" width="12.7109375" style="247" customWidth="1"/>
    <col min="15382" max="15382" width="14.7109375" style="247" customWidth="1"/>
    <col min="15383" max="15383" width="12.42578125" style="247" customWidth="1"/>
    <col min="15384" max="15384" width="12.28515625" style="247" customWidth="1"/>
    <col min="15385" max="15385" width="12.7109375" style="247" customWidth="1"/>
    <col min="15386" max="15386" width="12.42578125" style="247" customWidth="1"/>
    <col min="15387" max="15387" width="13.85546875" style="247" customWidth="1"/>
    <col min="15388" max="15388" width="20.28515625" style="247" customWidth="1"/>
    <col min="15389" max="15389" width="11.7109375" style="247" customWidth="1"/>
    <col min="15390" max="15390" width="17.42578125" style="247" customWidth="1"/>
    <col min="15391" max="15635" width="8.85546875" style="247"/>
    <col min="15636" max="15636" width="17.28515625" style="247" customWidth="1"/>
    <col min="15637" max="15637" width="12.7109375" style="247" customWidth="1"/>
    <col min="15638" max="15638" width="14.7109375" style="247" customWidth="1"/>
    <col min="15639" max="15639" width="12.42578125" style="247" customWidth="1"/>
    <col min="15640" max="15640" width="12.28515625" style="247" customWidth="1"/>
    <col min="15641" max="15641" width="12.7109375" style="247" customWidth="1"/>
    <col min="15642" max="15642" width="12.42578125" style="247" customWidth="1"/>
    <col min="15643" max="15643" width="13.85546875" style="247" customWidth="1"/>
    <col min="15644" max="15644" width="20.28515625" style="247" customWidth="1"/>
    <col min="15645" max="15645" width="11.7109375" style="247" customWidth="1"/>
    <col min="15646" max="15646" width="17.42578125" style="247" customWidth="1"/>
    <col min="15647" max="15891" width="8.85546875" style="247"/>
    <col min="15892" max="15892" width="17.28515625" style="247" customWidth="1"/>
    <col min="15893" max="15893" width="12.7109375" style="247" customWidth="1"/>
    <col min="15894" max="15894" width="14.7109375" style="247" customWidth="1"/>
    <col min="15895" max="15895" width="12.42578125" style="247" customWidth="1"/>
    <col min="15896" max="15896" width="12.28515625" style="247" customWidth="1"/>
    <col min="15897" max="15897" width="12.7109375" style="247" customWidth="1"/>
    <col min="15898" max="15898" width="12.42578125" style="247" customWidth="1"/>
    <col min="15899" max="15899" width="13.85546875" style="247" customWidth="1"/>
    <col min="15900" max="15900" width="20.28515625" style="247" customWidth="1"/>
    <col min="15901" max="15901" width="11.7109375" style="247" customWidth="1"/>
    <col min="15902" max="15902" width="17.42578125" style="247" customWidth="1"/>
    <col min="15903" max="16147" width="8.85546875" style="247"/>
    <col min="16148" max="16148" width="17.28515625" style="247" customWidth="1"/>
    <col min="16149" max="16149" width="12.7109375" style="247" customWidth="1"/>
    <col min="16150" max="16150" width="14.7109375" style="247" customWidth="1"/>
    <col min="16151" max="16151" width="12.42578125" style="247" customWidth="1"/>
    <col min="16152" max="16152" width="12.28515625" style="247" customWidth="1"/>
    <col min="16153" max="16153" width="12.7109375" style="247" customWidth="1"/>
    <col min="16154" max="16154" width="12.42578125" style="247" customWidth="1"/>
    <col min="16155" max="16155" width="13.85546875" style="247" customWidth="1"/>
    <col min="16156" max="16156" width="20.28515625" style="247" customWidth="1"/>
    <col min="16157" max="16157" width="11.7109375" style="247" customWidth="1"/>
    <col min="16158" max="16158" width="17.42578125" style="247" customWidth="1"/>
    <col min="16159" max="16384" width="8.85546875" style="247"/>
  </cols>
  <sheetData>
    <row r="1" spans="2:45" ht="15" thickBot="1"/>
    <row r="2" spans="2:45" ht="15.75" hidden="1" thickBot="1">
      <c r="AF2" s="248"/>
      <c r="AG2" s="249"/>
      <c r="AH2" s="249"/>
      <c r="AI2" s="249"/>
      <c r="AJ2" s="249"/>
      <c r="AK2" s="248"/>
      <c r="AL2" s="249"/>
      <c r="AM2" s="249"/>
      <c r="AN2" s="249"/>
      <c r="AO2" s="249"/>
      <c r="AP2" s="248"/>
      <c r="AQ2" s="249"/>
      <c r="AR2" s="249"/>
      <c r="AS2" s="249"/>
    </row>
    <row r="3" spans="2:45" ht="15.75" thickBot="1">
      <c r="B3" s="361" t="s">
        <v>212</v>
      </c>
      <c r="C3" s="362"/>
      <c r="D3" s="362"/>
      <c r="E3" s="362"/>
      <c r="F3" s="363"/>
      <c r="G3" s="362"/>
      <c r="H3" s="362"/>
      <c r="I3" s="362"/>
      <c r="J3" s="364"/>
      <c r="K3" s="364"/>
      <c r="L3" s="365"/>
      <c r="M3" s="250"/>
      <c r="N3" s="250"/>
      <c r="O3" s="250"/>
      <c r="P3" s="250"/>
      <c r="Q3" s="250"/>
      <c r="R3" s="250"/>
      <c r="S3" s="250"/>
      <c r="T3" s="250"/>
      <c r="U3" s="250"/>
      <c r="V3" s="250"/>
      <c r="W3" s="250"/>
      <c r="X3" s="250"/>
      <c r="Y3" s="250"/>
      <c r="Z3" s="250"/>
      <c r="AA3" s="250"/>
      <c r="AB3" s="250"/>
      <c r="AC3" s="250"/>
      <c r="AD3" s="250"/>
      <c r="AF3" s="251"/>
      <c r="AG3" s="251"/>
      <c r="AH3" s="251"/>
      <c r="AI3" s="251"/>
      <c r="AJ3" s="251"/>
      <c r="AK3" s="251"/>
      <c r="AL3" s="251"/>
      <c r="AM3" s="251"/>
      <c r="AN3" s="251"/>
      <c r="AO3" s="251"/>
      <c r="AP3" s="251"/>
      <c r="AQ3" s="251"/>
      <c r="AR3" s="251"/>
      <c r="AS3" s="251"/>
    </row>
    <row r="4" spans="2:45" ht="15.75" thickBot="1">
      <c r="B4" s="252"/>
      <c r="C4" s="253" t="s">
        <v>6</v>
      </c>
      <c r="D4" s="253" t="s">
        <v>25</v>
      </c>
      <c r="E4" s="254" t="s">
        <v>5</v>
      </c>
      <c r="F4" s="255" t="s">
        <v>26</v>
      </c>
      <c r="G4" s="256" t="s">
        <v>7</v>
      </c>
      <c r="H4" s="253" t="s">
        <v>23</v>
      </c>
      <c r="I4" s="253" t="s">
        <v>162</v>
      </c>
      <c r="J4" s="257" t="s">
        <v>16</v>
      </c>
      <c r="K4" s="257" t="s">
        <v>213</v>
      </c>
      <c r="L4" s="257" t="s">
        <v>27</v>
      </c>
      <c r="M4" s="257" t="s">
        <v>12</v>
      </c>
      <c r="N4" s="257" t="s">
        <v>1</v>
      </c>
      <c r="O4" s="257" t="s">
        <v>214</v>
      </c>
      <c r="P4" s="257" t="s">
        <v>15</v>
      </c>
      <c r="Q4" s="257" t="s">
        <v>18</v>
      </c>
      <c r="R4" s="257" t="s">
        <v>3</v>
      </c>
      <c r="S4" s="257" t="s">
        <v>19</v>
      </c>
      <c r="T4" s="257" t="s">
        <v>164</v>
      </c>
      <c r="U4" s="257" t="s">
        <v>17</v>
      </c>
      <c r="V4" s="257" t="s">
        <v>163</v>
      </c>
      <c r="W4" s="257" t="s">
        <v>21</v>
      </c>
      <c r="X4" s="258" t="s">
        <v>11</v>
      </c>
      <c r="Y4" s="258" t="s">
        <v>14</v>
      </c>
      <c r="Z4" s="258" t="s">
        <v>13</v>
      </c>
      <c r="AA4" s="258" t="s">
        <v>4</v>
      </c>
      <c r="AB4" s="258" t="s">
        <v>22</v>
      </c>
      <c r="AC4" s="258" t="s">
        <v>9</v>
      </c>
      <c r="AD4" s="258" t="s">
        <v>10</v>
      </c>
      <c r="AF4" s="248"/>
      <c r="AG4" s="249"/>
      <c r="AH4" s="249"/>
      <c r="AI4" s="249"/>
      <c r="AJ4" s="249"/>
      <c r="AK4" s="248"/>
      <c r="AL4" s="249"/>
      <c r="AM4" s="249"/>
      <c r="AN4" s="249"/>
      <c r="AO4" s="249"/>
      <c r="AP4" s="248"/>
      <c r="AQ4" s="249"/>
      <c r="AR4" s="249"/>
      <c r="AS4" s="249"/>
    </row>
    <row r="5" spans="2:45" ht="15.75" hidden="1" thickBot="1">
      <c r="B5" s="252" t="s">
        <v>215</v>
      </c>
      <c r="C5" s="253">
        <v>14</v>
      </c>
      <c r="D5" s="253">
        <v>20</v>
      </c>
      <c r="E5" s="254">
        <v>5</v>
      </c>
      <c r="F5" s="254">
        <v>24</v>
      </c>
      <c r="G5" s="256">
        <v>11</v>
      </c>
      <c r="H5" s="256">
        <v>10</v>
      </c>
      <c r="I5" s="256">
        <v>23</v>
      </c>
      <c r="J5" s="259">
        <v>18</v>
      </c>
      <c r="K5" s="259">
        <v>26</v>
      </c>
      <c r="L5" s="259">
        <v>12</v>
      </c>
      <c r="M5" s="259">
        <v>21</v>
      </c>
      <c r="N5" s="259">
        <v>16</v>
      </c>
      <c r="O5" s="259">
        <v>2</v>
      </c>
      <c r="P5" s="259" t="s">
        <v>34</v>
      </c>
      <c r="Q5" s="259">
        <v>25</v>
      </c>
      <c r="R5" s="259">
        <v>7</v>
      </c>
      <c r="S5" s="259">
        <v>13</v>
      </c>
      <c r="T5" s="259">
        <v>9</v>
      </c>
      <c r="U5" s="259">
        <v>17</v>
      </c>
      <c r="V5" s="259">
        <v>27</v>
      </c>
      <c r="W5" s="259">
        <v>19</v>
      </c>
      <c r="X5" s="258">
        <v>15</v>
      </c>
      <c r="Y5" s="258">
        <v>22</v>
      </c>
      <c r="Z5" s="258">
        <v>4</v>
      </c>
      <c r="AA5" s="258">
        <v>8</v>
      </c>
      <c r="AB5" s="258">
        <v>6</v>
      </c>
      <c r="AC5" s="258">
        <v>3</v>
      </c>
      <c r="AD5" s="258">
        <v>1</v>
      </c>
      <c r="AF5" s="248"/>
      <c r="AG5" s="249"/>
      <c r="AH5" s="249"/>
      <c r="AI5" s="249"/>
      <c r="AJ5" s="249"/>
      <c r="AK5" s="248"/>
      <c r="AL5" s="249"/>
      <c r="AM5" s="249"/>
      <c r="AN5" s="249"/>
      <c r="AO5" s="249"/>
      <c r="AP5" s="248"/>
      <c r="AQ5" s="249"/>
      <c r="AR5" s="249"/>
      <c r="AS5" s="249"/>
    </row>
    <row r="6" spans="2:45" ht="15.75" hidden="1" thickBot="1">
      <c r="B6" s="252" t="s">
        <v>216</v>
      </c>
      <c r="C6" s="253">
        <v>27</v>
      </c>
      <c r="D6" s="253">
        <v>23.200000000000003</v>
      </c>
      <c r="E6" s="254">
        <v>35.299999999999997</v>
      </c>
      <c r="F6" s="256">
        <v>15</v>
      </c>
      <c r="G6" s="256">
        <v>29.02</v>
      </c>
      <c r="H6" s="256">
        <v>29.6</v>
      </c>
      <c r="I6" s="256">
        <v>16</v>
      </c>
      <c r="J6" s="256">
        <v>23.7</v>
      </c>
      <c r="K6" s="256">
        <v>9</v>
      </c>
      <c r="L6" s="256">
        <v>28.970000000000002</v>
      </c>
      <c r="M6" s="256">
        <v>22</v>
      </c>
      <c r="N6" s="256">
        <v>25.8</v>
      </c>
      <c r="O6" s="256">
        <v>42.7</v>
      </c>
      <c r="P6" s="256"/>
      <c r="Q6" s="256">
        <v>14</v>
      </c>
      <c r="R6" s="256">
        <v>33</v>
      </c>
      <c r="S6" s="256">
        <v>27.6</v>
      </c>
      <c r="T6" s="256">
        <v>29.8</v>
      </c>
      <c r="U6" s="256">
        <v>24.7</v>
      </c>
      <c r="V6" s="256">
        <v>4</v>
      </c>
      <c r="W6" s="256">
        <v>23.65</v>
      </c>
      <c r="X6" s="258">
        <v>26.15</v>
      </c>
      <c r="Y6" s="258">
        <v>17.600000000000001</v>
      </c>
      <c r="Z6" s="258">
        <v>36.700000000000003</v>
      </c>
      <c r="AA6" s="258">
        <v>31.060000000000002</v>
      </c>
      <c r="AB6" s="258">
        <v>33.65</v>
      </c>
      <c r="AC6" s="258">
        <v>38.200000000000003</v>
      </c>
      <c r="AD6" s="258">
        <v>47.15</v>
      </c>
      <c r="AF6" s="251"/>
      <c r="AG6" s="248"/>
      <c r="AH6" s="249"/>
      <c r="AI6" s="249"/>
      <c r="AJ6" s="249"/>
      <c r="AK6" s="249"/>
      <c r="AL6" s="249"/>
      <c r="AM6" s="249"/>
      <c r="AN6" s="249"/>
      <c r="AO6" s="249"/>
      <c r="AP6" s="249"/>
      <c r="AQ6" s="249"/>
      <c r="AR6" s="251"/>
    </row>
    <row r="7" spans="2:45" ht="75">
      <c r="B7" s="260" t="s">
        <v>217</v>
      </c>
      <c r="C7" s="261">
        <v>27</v>
      </c>
      <c r="D7" s="262">
        <f>SUM(D8:D11)</f>
        <v>23.200000000000003</v>
      </c>
      <c r="E7" s="262">
        <f>SUM(E8:E11)</f>
        <v>37.5</v>
      </c>
      <c r="F7" s="263" t="s">
        <v>251</v>
      </c>
      <c r="G7" s="264">
        <v>29.02</v>
      </c>
      <c r="H7" s="262">
        <v>29.6</v>
      </c>
      <c r="I7" s="262">
        <f>10.5+5.5</f>
        <v>16</v>
      </c>
      <c r="J7" s="262">
        <v>23.7</v>
      </c>
      <c r="K7" s="265" t="s">
        <v>110</v>
      </c>
      <c r="L7" s="262">
        <f>SUM(L8:L11)</f>
        <v>28.970000000000002</v>
      </c>
      <c r="M7" s="266" t="s">
        <v>218</v>
      </c>
      <c r="N7" s="262">
        <v>25.8</v>
      </c>
      <c r="O7" s="262">
        <v>42.7</v>
      </c>
      <c r="P7" s="262"/>
      <c r="Q7" s="262">
        <v>14</v>
      </c>
      <c r="R7" s="262">
        <v>33</v>
      </c>
      <c r="S7" s="262">
        <v>27.6</v>
      </c>
      <c r="T7" s="262">
        <v>29.8</v>
      </c>
      <c r="U7" s="267" t="s">
        <v>101</v>
      </c>
      <c r="V7" s="262">
        <v>4</v>
      </c>
      <c r="W7" s="265" t="s">
        <v>219</v>
      </c>
      <c r="X7" s="268">
        <f>+X8+X9+X10</f>
        <v>26.15</v>
      </c>
      <c r="Y7" s="269">
        <v>17.600000000000001</v>
      </c>
      <c r="Z7" s="268">
        <f>+Z8+Z9+Z10</f>
        <v>36.700000000000003</v>
      </c>
      <c r="AA7" s="268">
        <f>+AA8+AA9+AA10</f>
        <v>31.060000000000002</v>
      </c>
      <c r="AB7" s="268">
        <f t="shared" ref="AB7" si="0">+AB8+AB9+AB10+AB11</f>
        <v>33.65</v>
      </c>
      <c r="AC7" s="268">
        <f>+AC8+AC9+AC10+AC11</f>
        <v>38.200000000000003</v>
      </c>
      <c r="AD7" s="268">
        <f>+AD8+AD9+AD11</f>
        <v>47.15</v>
      </c>
      <c r="AF7" s="251"/>
      <c r="AG7" s="251"/>
      <c r="AH7" s="251"/>
      <c r="AI7" s="251"/>
      <c r="AJ7" s="251"/>
      <c r="AK7" s="251"/>
      <c r="AL7" s="251"/>
      <c r="AM7" s="251"/>
      <c r="AN7" s="251"/>
      <c r="AO7" s="251"/>
      <c r="AP7" s="251"/>
      <c r="AQ7" s="251"/>
      <c r="AR7" s="251"/>
    </row>
    <row r="8" spans="2:45" ht="60">
      <c r="B8" s="270" t="s">
        <v>33</v>
      </c>
      <c r="C8" s="271" t="s">
        <v>34</v>
      </c>
      <c r="D8" s="271">
        <v>16</v>
      </c>
      <c r="E8" s="271">
        <v>26.3</v>
      </c>
      <c r="F8" s="271"/>
      <c r="G8" s="272">
        <f>9.76*2</f>
        <v>19.52</v>
      </c>
      <c r="H8" s="271"/>
      <c r="I8" s="271">
        <v>10.5</v>
      </c>
      <c r="J8" s="273">
        <v>5.7</v>
      </c>
      <c r="K8" s="273"/>
      <c r="L8" s="273">
        <v>10.210000000000001</v>
      </c>
      <c r="M8" s="273"/>
      <c r="N8" s="273">
        <v>17.8</v>
      </c>
      <c r="O8" s="273">
        <v>28</v>
      </c>
      <c r="P8" s="274" t="s">
        <v>99</v>
      </c>
      <c r="Q8" s="273"/>
      <c r="R8" s="273">
        <v>20</v>
      </c>
      <c r="S8" s="273">
        <v>20</v>
      </c>
      <c r="T8" s="273"/>
      <c r="U8" s="273"/>
      <c r="V8" s="273"/>
      <c r="W8" s="274" t="s">
        <v>105</v>
      </c>
      <c r="X8" s="275">
        <v>18.5</v>
      </c>
      <c r="Y8" s="275">
        <v>14.6</v>
      </c>
      <c r="Z8" s="275">
        <v>20</v>
      </c>
      <c r="AA8" s="275">
        <v>20</v>
      </c>
      <c r="AB8" s="275">
        <v>17.899999999999999</v>
      </c>
      <c r="AC8" s="275">
        <f>15.5+8.85</f>
        <v>24.35</v>
      </c>
      <c r="AD8" s="276">
        <f>14+4</f>
        <v>18</v>
      </c>
      <c r="AF8" s="251"/>
      <c r="AG8" s="251"/>
      <c r="AH8" s="251"/>
      <c r="AI8" s="251"/>
      <c r="AJ8" s="251"/>
      <c r="AK8" s="251"/>
      <c r="AL8" s="251"/>
      <c r="AM8" s="251"/>
      <c r="AN8" s="251"/>
      <c r="AO8" s="251"/>
      <c r="AP8" s="251"/>
      <c r="AQ8" s="251"/>
      <c r="AR8" s="251"/>
    </row>
    <row r="9" spans="2:45" ht="15">
      <c r="B9" s="270" t="s">
        <v>36</v>
      </c>
      <c r="C9" s="271" t="s">
        <v>34</v>
      </c>
      <c r="D9" s="271">
        <v>6.1</v>
      </c>
      <c r="E9" s="271">
        <v>9</v>
      </c>
      <c r="F9" s="271"/>
      <c r="G9" s="272"/>
      <c r="H9" s="271"/>
      <c r="I9" s="271">
        <v>5.5</v>
      </c>
      <c r="J9" s="273">
        <f>1.32+0.17</f>
        <v>1.49</v>
      </c>
      <c r="K9" s="273"/>
      <c r="L9" s="273">
        <v>4.4400000000000004</v>
      </c>
      <c r="M9" s="273"/>
      <c r="N9" s="273">
        <v>8</v>
      </c>
      <c r="O9" s="273">
        <v>13.5</v>
      </c>
      <c r="P9" s="273"/>
      <c r="Q9" s="273" t="s">
        <v>102</v>
      </c>
      <c r="R9" s="273">
        <v>13</v>
      </c>
      <c r="S9" s="273">
        <v>7.6</v>
      </c>
      <c r="T9" s="273"/>
      <c r="U9" s="273"/>
      <c r="V9" s="273"/>
      <c r="W9" s="273" t="s">
        <v>34</v>
      </c>
      <c r="X9" s="275">
        <v>7.65</v>
      </c>
      <c r="Y9" s="277"/>
      <c r="Z9" s="275">
        <v>15</v>
      </c>
      <c r="AA9" s="275">
        <f>7.52+2.37+1.17</f>
        <v>11.06</v>
      </c>
      <c r="AB9" s="275">
        <f>5.5+9.65</f>
        <v>15.15</v>
      </c>
      <c r="AC9" s="275">
        <f>6.36+6.56</f>
        <v>12.92</v>
      </c>
      <c r="AD9" s="276">
        <f>10+4</f>
        <v>14</v>
      </c>
      <c r="AF9" s="251"/>
      <c r="AG9" s="251"/>
      <c r="AH9" s="251"/>
      <c r="AI9" s="251"/>
      <c r="AJ9" s="251"/>
      <c r="AK9" s="251"/>
      <c r="AL9" s="251"/>
      <c r="AM9" s="251"/>
      <c r="AN9" s="251"/>
      <c r="AO9" s="251"/>
      <c r="AP9" s="251"/>
      <c r="AQ9" s="251"/>
      <c r="AR9" s="251"/>
    </row>
    <row r="10" spans="2:45" ht="25.5">
      <c r="B10" s="270" t="s">
        <v>37</v>
      </c>
      <c r="C10" s="271" t="s">
        <v>34</v>
      </c>
      <c r="D10" s="271"/>
      <c r="E10" s="271"/>
      <c r="F10" s="271"/>
      <c r="G10" s="272"/>
      <c r="H10" s="271"/>
      <c r="I10" s="271"/>
      <c r="J10" s="273">
        <v>0.65</v>
      </c>
      <c r="K10" s="273"/>
      <c r="L10" s="278">
        <v>0.1</v>
      </c>
      <c r="M10" s="278"/>
      <c r="N10" s="278"/>
      <c r="O10" s="278">
        <v>1.2</v>
      </c>
      <c r="P10" s="278" t="s">
        <v>100</v>
      </c>
      <c r="Q10" s="278"/>
      <c r="R10" s="278"/>
      <c r="S10" s="278" t="s">
        <v>34</v>
      </c>
      <c r="T10" s="278"/>
      <c r="U10" s="278"/>
      <c r="V10" s="278"/>
      <c r="W10" s="278" t="s">
        <v>34</v>
      </c>
      <c r="X10" s="275"/>
      <c r="Y10" s="277"/>
      <c r="Z10" s="275">
        <v>1.7</v>
      </c>
      <c r="AA10" s="275"/>
      <c r="AB10" s="275"/>
      <c r="AC10" s="275">
        <f>0.14+0.06</f>
        <v>0.2</v>
      </c>
      <c r="AD10" s="279" t="s">
        <v>90</v>
      </c>
    </row>
    <row r="11" spans="2:45" ht="76.5">
      <c r="B11" s="270" t="s">
        <v>38</v>
      </c>
      <c r="C11" s="271" t="s">
        <v>34</v>
      </c>
      <c r="D11" s="271">
        <v>1.1000000000000001</v>
      </c>
      <c r="E11" s="271">
        <v>2.2000000000000002</v>
      </c>
      <c r="F11" s="271"/>
      <c r="G11" s="272">
        <f>6.5+4.26</f>
        <v>10.76</v>
      </c>
      <c r="H11" s="271"/>
      <c r="I11" s="271"/>
      <c r="J11" s="273"/>
      <c r="K11" s="273"/>
      <c r="L11" s="273">
        <f>0.3+2.6+11.32</f>
        <v>14.22</v>
      </c>
      <c r="M11" s="273"/>
      <c r="N11" s="273" t="s">
        <v>75</v>
      </c>
      <c r="O11" s="273" t="s">
        <v>79</v>
      </c>
      <c r="P11" s="273"/>
      <c r="Q11" s="273"/>
      <c r="R11" s="273"/>
      <c r="S11" s="273" t="s">
        <v>34</v>
      </c>
      <c r="T11" s="273"/>
      <c r="U11" s="273"/>
      <c r="V11" s="273"/>
      <c r="W11" s="273" t="s">
        <v>34</v>
      </c>
      <c r="X11" s="280" t="s">
        <v>91</v>
      </c>
      <c r="Y11" s="280" t="s">
        <v>96</v>
      </c>
      <c r="Z11" s="275">
        <v>0.5</v>
      </c>
      <c r="AA11" s="280" t="s">
        <v>80</v>
      </c>
      <c r="AB11" s="275">
        <v>0.6</v>
      </c>
      <c r="AC11" s="275">
        <f>0.53+0.2</f>
        <v>0.73</v>
      </c>
      <c r="AD11" s="276">
        <f>6+4.4+4.75</f>
        <v>15.15</v>
      </c>
    </row>
    <row r="12" spans="2:45" ht="102.75" thickBot="1">
      <c r="B12" s="270" t="s">
        <v>78</v>
      </c>
      <c r="C12" s="281" t="s">
        <v>86</v>
      </c>
      <c r="D12" s="282" t="s">
        <v>112</v>
      </c>
      <c r="E12" s="281" t="s">
        <v>83</v>
      </c>
      <c r="F12" s="281" t="s">
        <v>113</v>
      </c>
      <c r="G12" s="283" t="s">
        <v>84</v>
      </c>
      <c r="H12" s="281" t="s">
        <v>108</v>
      </c>
      <c r="I12" s="284" t="s">
        <v>87</v>
      </c>
      <c r="J12" s="278" t="s">
        <v>34</v>
      </c>
      <c r="K12" s="278" t="s">
        <v>111</v>
      </c>
      <c r="L12" s="273" t="s">
        <v>34</v>
      </c>
      <c r="M12" s="274" t="s">
        <v>220</v>
      </c>
      <c r="N12" s="273" t="s">
        <v>76</v>
      </c>
      <c r="O12" s="273"/>
      <c r="P12" s="273"/>
      <c r="Q12" s="273"/>
      <c r="R12" s="285" t="s">
        <v>221</v>
      </c>
      <c r="S12" s="285"/>
      <c r="T12" s="285" t="s">
        <v>222</v>
      </c>
      <c r="U12" s="285"/>
      <c r="V12" s="285" t="s">
        <v>104</v>
      </c>
      <c r="W12" s="285">
        <v>15548</v>
      </c>
      <c r="X12" s="286" t="s">
        <v>92</v>
      </c>
      <c r="Y12" s="287" t="s">
        <v>97</v>
      </c>
      <c r="Z12" s="287" t="s">
        <v>94</v>
      </c>
      <c r="AA12" s="287" t="s">
        <v>81</v>
      </c>
      <c r="AB12" s="287" t="s">
        <v>106</v>
      </c>
      <c r="AC12" s="288">
        <v>831.74</v>
      </c>
      <c r="AD12" s="289" t="s">
        <v>223</v>
      </c>
    </row>
    <row r="13" spans="2:45" ht="115.5" thickBot="1">
      <c r="B13" s="270" t="s">
        <v>224</v>
      </c>
      <c r="C13" s="281" t="s">
        <v>34</v>
      </c>
      <c r="D13" s="282">
        <v>115378</v>
      </c>
      <c r="E13" s="281">
        <v>20760</v>
      </c>
      <c r="F13" s="281" t="s">
        <v>34</v>
      </c>
      <c r="G13" s="283" t="s">
        <v>85</v>
      </c>
      <c r="H13" s="290" t="s">
        <v>109</v>
      </c>
      <c r="I13" s="281" t="s">
        <v>88</v>
      </c>
      <c r="J13" s="278" t="s">
        <v>34</v>
      </c>
      <c r="K13" s="278">
        <v>41865</v>
      </c>
      <c r="L13" s="291" t="s">
        <v>34</v>
      </c>
      <c r="M13" s="292" t="s">
        <v>225</v>
      </c>
      <c r="N13" s="291" t="s">
        <v>77</v>
      </c>
      <c r="O13" s="293">
        <v>1277328</v>
      </c>
      <c r="P13" s="293"/>
      <c r="Q13" s="293"/>
      <c r="R13" s="285" t="s">
        <v>226</v>
      </c>
      <c r="S13" s="285" t="s">
        <v>103</v>
      </c>
      <c r="T13" s="285" t="s">
        <v>227</v>
      </c>
      <c r="U13" s="285"/>
      <c r="V13" s="285"/>
      <c r="W13" s="285" t="s">
        <v>228</v>
      </c>
      <c r="X13" s="287" t="s">
        <v>93</v>
      </c>
      <c r="Y13" s="287" t="s">
        <v>98</v>
      </c>
      <c r="Z13" s="287" t="s">
        <v>95</v>
      </c>
      <c r="AA13" s="287" t="s">
        <v>82</v>
      </c>
      <c r="AB13" s="294" t="s">
        <v>107</v>
      </c>
      <c r="AC13" s="287">
        <v>5391</v>
      </c>
      <c r="AD13" s="289" t="s">
        <v>229</v>
      </c>
    </row>
    <row r="14" spans="2:45" ht="25.5">
      <c r="B14" s="270" t="s">
        <v>230</v>
      </c>
      <c r="C14" s="295" t="s">
        <v>34</v>
      </c>
      <c r="D14" s="295">
        <f>D13/(12*D15)</f>
        <v>1.9108138903242045</v>
      </c>
      <c r="E14" s="295">
        <f>E13/(12*E15)</f>
        <v>2.3534213032240507</v>
      </c>
      <c r="F14" s="295" t="s">
        <v>34</v>
      </c>
      <c r="G14" s="296">
        <f>118770/G15</f>
        <v>30.847748168926291</v>
      </c>
      <c r="H14" s="296">
        <f>5030.64/H15</f>
        <v>3.688152492668622</v>
      </c>
      <c r="I14" s="297" t="s">
        <v>89</v>
      </c>
      <c r="J14" s="298" t="s">
        <v>34</v>
      </c>
      <c r="K14" s="298">
        <f>K13/(K15*12)</f>
        <v>1.2647272068152982</v>
      </c>
      <c r="L14" s="299" t="s">
        <v>34</v>
      </c>
      <c r="M14" s="299">
        <f>81903/(M15*12)</f>
        <v>1.9108712693879835</v>
      </c>
      <c r="N14" s="299">
        <f>2600/N15</f>
        <v>2.9092536645406732</v>
      </c>
      <c r="O14" s="299">
        <f>O13/(O15*12)</f>
        <v>4.0653548840477862</v>
      </c>
      <c r="P14" s="299" t="s">
        <v>34</v>
      </c>
      <c r="Q14" s="299" t="s">
        <v>34</v>
      </c>
      <c r="R14" s="299">
        <f>70200/(1065*12)</f>
        <v>5.492957746478873</v>
      </c>
      <c r="S14" s="299">
        <f>66561.7/(12*S15)</f>
        <v>3.7728256926495258</v>
      </c>
      <c r="T14" s="299">
        <f>43272/(12*T15)</f>
        <v>1.5747412550766406</v>
      </c>
      <c r="U14" s="299" t="s">
        <v>34</v>
      </c>
      <c r="V14" s="299" t="s">
        <v>34</v>
      </c>
      <c r="W14" s="299">
        <f>76872/(2407.5*12)</f>
        <v>2.6608515057113187</v>
      </c>
      <c r="X14" s="299">
        <f>65100/(12*X15)</f>
        <v>1.6003736663552781</v>
      </c>
      <c r="Y14" s="299">
        <v>2.4134167443098629</v>
      </c>
      <c r="Z14" s="299">
        <v>5.9011887072808324</v>
      </c>
      <c r="AA14" s="299">
        <v>4.9511002444987779</v>
      </c>
      <c r="AB14" s="299">
        <v>0.72415056916177989</v>
      </c>
      <c r="AC14" s="299">
        <f>AC13/AC15</f>
        <v>2.9151045421773611</v>
      </c>
      <c r="AD14" s="299">
        <v>4.0178789110117838</v>
      </c>
    </row>
    <row r="15" spans="2:45" ht="38.25">
      <c r="B15" s="270" t="s">
        <v>61</v>
      </c>
      <c r="C15" s="281">
        <v>248149.9</v>
      </c>
      <c r="D15" s="282">
        <v>5031.8</v>
      </c>
      <c r="E15" s="295">
        <v>735.1</v>
      </c>
      <c r="F15" s="281">
        <v>1378.8958333333301</v>
      </c>
      <c r="G15" s="283">
        <v>3850.2</v>
      </c>
      <c r="H15" s="281">
        <v>1364</v>
      </c>
      <c r="I15" s="281">
        <v>2559.5</v>
      </c>
      <c r="J15" s="281">
        <v>3407.8</v>
      </c>
      <c r="K15" s="281">
        <v>2758.5</v>
      </c>
      <c r="L15" s="281">
        <v>32448.799999999999</v>
      </c>
      <c r="M15" s="283">
        <v>3571.8</v>
      </c>
      <c r="N15" s="283">
        <v>893.7</v>
      </c>
      <c r="O15" s="281">
        <v>26183.200000000001</v>
      </c>
      <c r="P15" s="282">
        <v>35699.699999999997</v>
      </c>
      <c r="Q15" s="281">
        <v>3134.4</v>
      </c>
      <c r="R15" s="281">
        <v>1065</v>
      </c>
      <c r="S15" s="283">
        <v>1470.2</v>
      </c>
      <c r="T15" s="281">
        <v>2289.9</v>
      </c>
      <c r="U15" s="281">
        <v>3040.9</v>
      </c>
      <c r="V15" s="282">
        <v>3947.2</v>
      </c>
      <c r="W15" s="281">
        <v>2407.5</v>
      </c>
      <c r="X15" s="281">
        <f>40678/12</f>
        <v>3389.8333333333335</v>
      </c>
      <c r="Y15" s="283">
        <f>+(1823+1796+1738+2156)/4</f>
        <v>1878.25</v>
      </c>
      <c r="Z15" s="300" t="s">
        <v>231</v>
      </c>
      <c r="AA15" s="281">
        <v>818</v>
      </c>
      <c r="AB15" s="282">
        <v>3865.3333333333335</v>
      </c>
      <c r="AC15" s="281">
        <v>1849.3333333333333</v>
      </c>
      <c r="AD15" s="281">
        <v>1025.4166666666667</v>
      </c>
      <c r="AE15" s="301"/>
    </row>
    <row r="16" spans="2:45" ht="16.899999999999999" customHeight="1" thickBot="1">
      <c r="B16" s="305" t="s">
        <v>232</v>
      </c>
      <c r="C16" s="306"/>
      <c r="D16" s="307" t="s">
        <v>233</v>
      </c>
      <c r="E16" s="308"/>
      <c r="F16" s="308"/>
      <c r="G16" s="309"/>
      <c r="H16" s="309" t="s">
        <v>234</v>
      </c>
      <c r="I16" s="310"/>
      <c r="J16" s="310" t="s">
        <v>34</v>
      </c>
      <c r="K16" s="310"/>
      <c r="L16" s="310" t="s">
        <v>34</v>
      </c>
      <c r="M16" s="311" t="s">
        <v>235</v>
      </c>
      <c r="N16" s="310"/>
      <c r="O16" s="310"/>
      <c r="P16" s="310"/>
      <c r="Q16" s="310"/>
      <c r="R16" s="310" t="s">
        <v>236</v>
      </c>
      <c r="S16" s="310"/>
      <c r="T16" s="306" t="s">
        <v>237</v>
      </c>
      <c r="U16" s="310">
        <v>51689</v>
      </c>
      <c r="V16" s="310"/>
      <c r="W16" s="310"/>
      <c r="X16" s="310"/>
      <c r="Y16" s="310"/>
      <c r="Z16" s="310"/>
      <c r="AA16" s="310"/>
      <c r="AB16" s="310"/>
      <c r="AC16" s="310"/>
      <c r="AD16" s="271"/>
    </row>
    <row r="17" spans="1:37" ht="130.9" customHeight="1">
      <c r="A17" s="318"/>
      <c r="B17" s="319" t="s">
        <v>150</v>
      </c>
      <c r="C17" s="320">
        <v>16</v>
      </c>
      <c r="D17" s="321" t="s">
        <v>186</v>
      </c>
      <c r="E17" s="320">
        <v>15</v>
      </c>
      <c r="F17" s="321" t="s">
        <v>187</v>
      </c>
      <c r="G17" s="321" t="s">
        <v>170</v>
      </c>
      <c r="H17" s="321" t="s">
        <v>183</v>
      </c>
      <c r="I17" s="322">
        <v>16</v>
      </c>
      <c r="J17" s="321" t="s">
        <v>177</v>
      </c>
      <c r="K17" s="321" t="s">
        <v>185</v>
      </c>
      <c r="L17" s="321" t="s">
        <v>188</v>
      </c>
      <c r="M17" s="323" t="s">
        <v>238</v>
      </c>
      <c r="N17" s="324">
        <v>15</v>
      </c>
      <c r="O17" s="324">
        <v>15</v>
      </c>
      <c r="P17" s="324">
        <v>42</v>
      </c>
      <c r="Q17" s="325" t="s">
        <v>201</v>
      </c>
      <c r="R17" s="324">
        <v>20</v>
      </c>
      <c r="S17" s="326" t="s">
        <v>239</v>
      </c>
      <c r="T17" s="323" t="s">
        <v>240</v>
      </c>
      <c r="U17" s="323" t="s">
        <v>241</v>
      </c>
      <c r="V17" s="326" t="s">
        <v>242</v>
      </c>
      <c r="W17" s="323" t="s">
        <v>243</v>
      </c>
      <c r="X17" s="317" t="s">
        <v>244</v>
      </c>
      <c r="Y17" s="313" t="s">
        <v>245</v>
      </c>
      <c r="Z17" s="314" t="s">
        <v>246</v>
      </c>
      <c r="AA17" s="315">
        <v>23</v>
      </c>
      <c r="AB17" s="313" t="s">
        <v>247</v>
      </c>
      <c r="AC17" s="316" t="s">
        <v>248</v>
      </c>
      <c r="AD17" s="312" t="s">
        <v>249</v>
      </c>
      <c r="AE17" s="301"/>
    </row>
    <row r="18" spans="1:37" ht="15">
      <c r="B18" s="302"/>
      <c r="C18" s="251"/>
      <c r="D18" s="302"/>
      <c r="E18" s="251"/>
      <c r="F18" s="251"/>
      <c r="G18" s="251"/>
      <c r="H18" s="251"/>
      <c r="I18" s="251"/>
      <c r="J18" s="251"/>
      <c r="K18" s="251"/>
      <c r="L18" s="303"/>
      <c r="M18" s="304"/>
      <c r="N18" s="304"/>
      <c r="O18" s="304"/>
      <c r="P18" s="304"/>
      <c r="Q18" s="304"/>
      <c r="R18" s="304"/>
      <c r="S18" s="304"/>
      <c r="T18" s="304"/>
      <c r="U18" s="304"/>
      <c r="V18" s="304"/>
      <c r="W18" s="304"/>
      <c r="X18" s="302"/>
      <c r="Y18" s="302"/>
      <c r="Z18" s="302"/>
      <c r="AA18" s="302"/>
      <c r="AB18" s="302"/>
      <c r="AC18" s="302"/>
      <c r="AD18" s="302"/>
      <c r="AE18" s="251"/>
      <c r="AF18" s="251"/>
      <c r="AG18" s="251"/>
      <c r="AH18" s="251"/>
      <c r="AI18" s="251"/>
      <c r="AJ18" s="251"/>
    </row>
    <row r="19" spans="1:37" ht="15" customHeight="1">
      <c r="B19" s="251"/>
      <c r="C19" s="251"/>
      <c r="D19" s="251"/>
      <c r="E19" s="251"/>
      <c r="F19" s="251"/>
      <c r="G19" s="251"/>
      <c r="H19" s="251"/>
      <c r="I19" s="251"/>
      <c r="J19" s="251"/>
      <c r="K19" s="251"/>
      <c r="L19" s="251"/>
      <c r="M19" s="304"/>
      <c r="N19" s="304"/>
      <c r="O19" s="304"/>
      <c r="P19" s="304"/>
      <c r="Q19" s="304"/>
      <c r="R19" s="304"/>
      <c r="S19" s="304"/>
      <c r="T19" s="304"/>
      <c r="U19" s="304"/>
      <c r="V19" s="304"/>
      <c r="W19" s="304"/>
      <c r="X19" s="251"/>
      <c r="Y19" s="251"/>
      <c r="Z19" s="251"/>
      <c r="AA19" s="251"/>
      <c r="AB19" s="251"/>
      <c r="AC19" s="251"/>
      <c r="AD19" s="251"/>
      <c r="AE19" s="251"/>
      <c r="AF19" s="251"/>
      <c r="AG19" s="251"/>
      <c r="AH19" s="251"/>
      <c r="AI19" s="251"/>
      <c r="AJ19" s="251"/>
    </row>
    <row r="20" spans="1:37" ht="15">
      <c r="B20" s="302"/>
      <c r="C20" s="251"/>
      <c r="D20" s="302"/>
      <c r="E20" s="251"/>
      <c r="F20" s="251"/>
      <c r="G20" s="251"/>
      <c r="H20" s="251"/>
      <c r="I20" s="251"/>
      <c r="J20" s="251"/>
      <c r="K20" s="251"/>
      <c r="L20" s="303"/>
      <c r="M20" s="304"/>
      <c r="N20" s="304"/>
      <c r="O20" s="304"/>
      <c r="P20" s="304"/>
      <c r="Q20" s="304"/>
      <c r="R20" s="304"/>
      <c r="S20" s="304"/>
      <c r="T20" s="304"/>
      <c r="U20" s="304"/>
      <c r="V20" s="304"/>
      <c r="W20" s="304"/>
      <c r="X20" s="251"/>
      <c r="Y20" s="251"/>
      <c r="Z20" s="251"/>
      <c r="AA20" s="251"/>
      <c r="AB20" s="251"/>
      <c r="AC20" s="251"/>
      <c r="AD20" s="251"/>
      <c r="AE20" s="251"/>
      <c r="AF20" s="251"/>
      <c r="AG20" s="251"/>
      <c r="AH20" s="251"/>
      <c r="AI20" s="251"/>
      <c r="AJ20" s="251"/>
    </row>
    <row r="21" spans="1:37" ht="15">
      <c r="B21" s="302"/>
      <c r="C21" s="251"/>
      <c r="D21" s="302"/>
      <c r="E21" s="251"/>
      <c r="F21" s="251"/>
      <c r="G21" s="251"/>
      <c r="H21" s="251"/>
      <c r="I21" s="251"/>
      <c r="J21" s="251"/>
      <c r="K21" s="251"/>
      <c r="L21" s="251"/>
      <c r="M21" s="304"/>
      <c r="N21" s="304"/>
      <c r="O21" s="304"/>
      <c r="P21" s="304"/>
      <c r="Q21" s="304"/>
      <c r="R21" s="304"/>
      <c r="S21" s="304"/>
      <c r="T21" s="304"/>
      <c r="U21" s="304"/>
      <c r="V21" s="304"/>
      <c r="W21" s="304"/>
      <c r="X21" s="251"/>
      <c r="Y21" s="251"/>
      <c r="Z21" s="251"/>
      <c r="AA21" s="251"/>
      <c r="AB21" s="251"/>
      <c r="AC21" s="251"/>
      <c r="AD21" s="251"/>
      <c r="AE21" s="251"/>
      <c r="AF21" s="251"/>
      <c r="AG21" s="251"/>
      <c r="AH21" s="251"/>
      <c r="AI21" s="251"/>
      <c r="AJ21" s="251"/>
    </row>
    <row r="22" spans="1:37" ht="28.9" customHeight="1">
      <c r="B22" s="302"/>
      <c r="C22" s="251"/>
      <c r="D22" s="302"/>
      <c r="E22" s="251"/>
      <c r="F22" s="251"/>
      <c r="G22" s="251"/>
      <c r="H22" s="251"/>
      <c r="I22" s="251"/>
      <c r="J22" s="251"/>
      <c r="K22" s="251"/>
      <c r="L22" s="251"/>
      <c r="M22" s="304"/>
      <c r="N22" s="304"/>
      <c r="O22" s="304"/>
      <c r="P22" s="304"/>
      <c r="Q22" s="304"/>
      <c r="R22" s="304"/>
      <c r="S22" s="304"/>
      <c r="T22" s="304"/>
      <c r="U22" s="304"/>
      <c r="V22" s="304"/>
      <c r="W22" s="304"/>
      <c r="X22" s="251"/>
      <c r="Y22" s="251"/>
      <c r="Z22" s="251"/>
      <c r="AA22" s="251"/>
      <c r="AB22" s="251"/>
      <c r="AC22" s="251"/>
      <c r="AD22" s="251"/>
      <c r="AE22" s="251"/>
      <c r="AF22" s="251"/>
      <c r="AG22" s="251"/>
      <c r="AH22" s="251"/>
      <c r="AI22" s="251"/>
      <c r="AJ22" s="251"/>
    </row>
    <row r="23" spans="1:37">
      <c r="B23" s="251"/>
      <c r="C23" s="251"/>
      <c r="D23" s="251"/>
      <c r="E23" s="251"/>
      <c r="F23" s="251"/>
      <c r="G23" s="251"/>
      <c r="H23" s="251"/>
      <c r="I23" s="251"/>
      <c r="J23" s="251"/>
      <c r="K23" s="251"/>
      <c r="L23" s="251"/>
      <c r="M23" s="304"/>
      <c r="N23" s="304"/>
      <c r="O23" s="304"/>
      <c r="P23" s="304"/>
      <c r="Q23" s="304"/>
      <c r="R23" s="304"/>
      <c r="S23" s="304"/>
      <c r="T23" s="304"/>
      <c r="U23" s="304"/>
      <c r="V23" s="304"/>
      <c r="W23" s="304"/>
      <c r="X23" s="251"/>
      <c r="Y23" s="251"/>
      <c r="Z23" s="251"/>
      <c r="AA23" s="251"/>
      <c r="AB23" s="251"/>
      <c r="AC23" s="251"/>
      <c r="AD23" s="251"/>
      <c r="AE23" s="251"/>
      <c r="AF23" s="251"/>
      <c r="AG23" s="251"/>
      <c r="AH23" s="251"/>
      <c r="AI23" s="251"/>
      <c r="AJ23" s="251"/>
    </row>
    <row r="24" spans="1:37" ht="15">
      <c r="B24" s="302"/>
      <c r="C24" s="251"/>
      <c r="D24" s="302"/>
      <c r="E24" s="251"/>
      <c r="F24" s="251"/>
      <c r="G24" s="251"/>
      <c r="H24" s="251"/>
      <c r="I24" s="251"/>
      <c r="J24" s="251"/>
      <c r="K24" s="251"/>
      <c r="L24" s="303"/>
      <c r="M24" s="304"/>
      <c r="N24" s="304"/>
      <c r="O24" s="304"/>
      <c r="P24" s="304"/>
      <c r="Q24" s="304"/>
      <c r="R24" s="304"/>
      <c r="S24" s="304"/>
      <c r="T24" s="304"/>
      <c r="U24" s="304"/>
      <c r="V24" s="304"/>
      <c r="W24" s="304"/>
      <c r="X24" s="251"/>
      <c r="Y24" s="251"/>
      <c r="Z24" s="251"/>
      <c r="AA24" s="251"/>
      <c r="AB24" s="251"/>
      <c r="AC24" s="251"/>
      <c r="AD24" s="251"/>
      <c r="AE24" s="251"/>
      <c r="AF24" s="251"/>
      <c r="AG24" s="251"/>
      <c r="AH24" s="251"/>
      <c r="AI24" s="251"/>
      <c r="AJ24" s="251"/>
    </row>
    <row r="25" spans="1:37" ht="15">
      <c r="B25" s="302"/>
      <c r="C25" s="251"/>
      <c r="D25" s="302"/>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row>
    <row r="26" spans="1:37" ht="15">
      <c r="B26" s="302"/>
      <c r="C26" s="251"/>
      <c r="D26" s="302"/>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row>
    <row r="27" spans="1:37">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row>
    <row r="28" spans="1:37" ht="15">
      <c r="B28" s="302"/>
      <c r="C28" s="251"/>
      <c r="D28" s="302"/>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row>
    <row r="29" spans="1:37" ht="15">
      <c r="B29" s="302"/>
      <c r="C29" s="251"/>
      <c r="D29" s="302"/>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row>
    <row r="30" spans="1:37" ht="15">
      <c r="B30" s="302"/>
      <c r="C30" s="251"/>
      <c r="D30" s="302"/>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row>
    <row r="31" spans="1:37">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row>
    <row r="32" spans="1:37" ht="15">
      <c r="B32" s="302"/>
      <c r="C32" s="251"/>
      <c r="D32" s="302"/>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row>
    <row r="33" spans="2:37" ht="15">
      <c r="B33" s="302"/>
      <c r="C33" s="251"/>
      <c r="D33" s="302"/>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row>
    <row r="34" spans="2:37" ht="15">
      <c r="B34" s="302"/>
      <c r="C34" s="251"/>
      <c r="D34" s="302"/>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row>
    <row r="35" spans="2:37">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row>
    <row r="36" spans="2:37">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row>
    <row r="37" spans="2:37">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row>
    <row r="38" spans="2:37">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row>
    <row r="39" spans="2:37">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row>
    <row r="40" spans="2:37">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row>
    <row r="41" spans="2:37">
      <c r="B41" s="251"/>
      <c r="C41" s="251"/>
      <c r="D41" s="251"/>
      <c r="E41" s="251"/>
      <c r="X41" s="251"/>
      <c r="Y41" s="251"/>
      <c r="Z41" s="251"/>
      <c r="AA41" s="251"/>
      <c r="AB41" s="251"/>
      <c r="AC41" s="251"/>
      <c r="AD41" s="251"/>
    </row>
    <row r="42" spans="2:37">
      <c r="B42" s="251"/>
      <c r="C42" s="251"/>
      <c r="D42" s="251"/>
      <c r="E42" s="251"/>
    </row>
    <row r="43" spans="2:37">
      <c r="B43" s="251"/>
      <c r="C43" s="251"/>
      <c r="D43" s="251"/>
      <c r="E43" s="251"/>
    </row>
    <row r="44" spans="2:37">
      <c r="B44" s="251"/>
      <c r="C44" s="251"/>
      <c r="D44" s="251"/>
      <c r="E44" s="251"/>
    </row>
    <row r="45" spans="2:37">
      <c r="B45" s="251"/>
      <c r="C45" s="251"/>
      <c r="D45" s="251"/>
      <c r="E45" s="251"/>
    </row>
  </sheetData>
  <mergeCells count="1">
    <mergeCell ref="B3:L3"/>
  </mergeCell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
  <sheetViews>
    <sheetView zoomScaleNormal="100" workbookViewId="0">
      <pane xSplit="1" topLeftCell="B1" activePane="topRight" state="frozen"/>
      <selection pane="topRight" activeCell="A2" sqref="A2"/>
    </sheetView>
  </sheetViews>
  <sheetFormatPr defaultRowHeight="15"/>
  <cols>
    <col min="1" max="1" width="20.140625" customWidth="1"/>
    <col min="2" max="55" width="11.7109375" customWidth="1"/>
    <col min="56" max="56" width="13.85546875" customWidth="1"/>
    <col min="57" max="57" width="11.7109375" customWidth="1"/>
  </cols>
  <sheetData>
    <row r="1" spans="1:57" ht="15.75" thickBot="1"/>
    <row r="2" spans="1:57" ht="15.75" thickBot="1">
      <c r="A2" s="223" t="s">
        <v>209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row>
    <row r="3" spans="1:57" ht="15.75" thickBot="1">
      <c r="A3" s="225"/>
      <c r="B3" s="367" t="s">
        <v>1</v>
      </c>
      <c r="C3" s="368"/>
      <c r="D3" s="369" t="s">
        <v>161</v>
      </c>
      <c r="E3" s="369"/>
      <c r="F3" s="368" t="s">
        <v>3</v>
      </c>
      <c r="G3" s="368"/>
      <c r="H3" s="368" t="s">
        <v>4</v>
      </c>
      <c r="I3" s="368"/>
      <c r="J3" s="368" t="s">
        <v>5</v>
      </c>
      <c r="K3" s="370"/>
      <c r="L3" s="367" t="s">
        <v>6</v>
      </c>
      <c r="M3" s="368"/>
      <c r="N3" s="368" t="s">
        <v>7</v>
      </c>
      <c r="O3" s="368"/>
      <c r="P3" s="368" t="s">
        <v>162</v>
      </c>
      <c r="Q3" s="368"/>
      <c r="R3" s="368" t="s">
        <v>9</v>
      </c>
      <c r="S3" s="368"/>
      <c r="T3" s="368" t="s">
        <v>10</v>
      </c>
      <c r="U3" s="368"/>
      <c r="V3" s="368" t="s">
        <v>11</v>
      </c>
      <c r="W3" s="368"/>
      <c r="X3" s="368" t="s">
        <v>12</v>
      </c>
      <c r="Y3" s="368"/>
      <c r="Z3" s="368" t="s">
        <v>13</v>
      </c>
      <c r="AA3" s="368"/>
      <c r="AB3" s="368" t="s">
        <v>14</v>
      </c>
      <c r="AC3" s="368"/>
      <c r="AD3" s="368" t="s">
        <v>15</v>
      </c>
      <c r="AE3" s="368"/>
      <c r="AF3" s="368" t="s">
        <v>16</v>
      </c>
      <c r="AG3" s="368"/>
      <c r="AH3" s="368" t="s">
        <v>17</v>
      </c>
      <c r="AI3" s="368"/>
      <c r="AJ3" s="368" t="s">
        <v>18</v>
      </c>
      <c r="AK3" s="368"/>
      <c r="AL3" s="368" t="s">
        <v>19</v>
      </c>
      <c r="AM3" s="368"/>
      <c r="AN3" s="368" t="s">
        <v>163</v>
      </c>
      <c r="AO3" s="368"/>
      <c r="AP3" s="368" t="s">
        <v>21</v>
      </c>
      <c r="AQ3" s="368"/>
      <c r="AR3" s="368" t="s">
        <v>22</v>
      </c>
      <c r="AS3" s="368"/>
      <c r="AT3" s="368" t="s">
        <v>23</v>
      </c>
      <c r="AU3" s="368"/>
      <c r="AV3" s="368" t="s">
        <v>164</v>
      </c>
      <c r="AW3" s="368"/>
      <c r="AX3" s="368" t="s">
        <v>165</v>
      </c>
      <c r="AY3" s="368"/>
      <c r="AZ3" s="368" t="s">
        <v>25</v>
      </c>
      <c r="BA3" s="368"/>
      <c r="BB3" s="368" t="s">
        <v>26</v>
      </c>
      <c r="BC3" s="368"/>
      <c r="BD3" s="368" t="s">
        <v>27</v>
      </c>
      <c r="BE3" s="368"/>
    </row>
    <row r="4" spans="1:57" s="222" customFormat="1" ht="26.25" thickBot="1">
      <c r="A4" s="226"/>
      <c r="B4" s="227" t="s">
        <v>160</v>
      </c>
      <c r="C4" s="227" t="s">
        <v>153</v>
      </c>
      <c r="D4" s="227" t="s">
        <v>160</v>
      </c>
      <c r="E4" s="227" t="s">
        <v>153</v>
      </c>
      <c r="F4" s="227" t="s">
        <v>160</v>
      </c>
      <c r="G4" s="227" t="s">
        <v>153</v>
      </c>
      <c r="H4" s="227" t="s">
        <v>160</v>
      </c>
      <c r="I4" s="227" t="s">
        <v>153</v>
      </c>
      <c r="J4" s="227" t="s">
        <v>160</v>
      </c>
      <c r="K4" s="227" t="s">
        <v>153</v>
      </c>
      <c r="L4" s="227" t="s">
        <v>160</v>
      </c>
      <c r="M4" s="227" t="s">
        <v>153</v>
      </c>
      <c r="N4" s="227" t="s">
        <v>160</v>
      </c>
      <c r="O4" s="227" t="s">
        <v>153</v>
      </c>
      <c r="P4" s="227" t="s">
        <v>160</v>
      </c>
      <c r="Q4" s="227" t="s">
        <v>153</v>
      </c>
      <c r="R4" s="227" t="s">
        <v>160</v>
      </c>
      <c r="S4" s="227" t="s">
        <v>153</v>
      </c>
      <c r="T4" s="227" t="s">
        <v>160</v>
      </c>
      <c r="U4" s="227" t="s">
        <v>153</v>
      </c>
      <c r="V4" s="227" t="s">
        <v>160</v>
      </c>
      <c r="W4" s="227" t="s">
        <v>153</v>
      </c>
      <c r="X4" s="227" t="s">
        <v>160</v>
      </c>
      <c r="Y4" s="227" t="s">
        <v>153</v>
      </c>
      <c r="Z4" s="227" t="s">
        <v>160</v>
      </c>
      <c r="AA4" s="227" t="s">
        <v>153</v>
      </c>
      <c r="AB4" s="227" t="s">
        <v>160</v>
      </c>
      <c r="AC4" s="227" t="s">
        <v>153</v>
      </c>
      <c r="AD4" s="227" t="s">
        <v>160</v>
      </c>
      <c r="AE4" s="227" t="s">
        <v>153</v>
      </c>
      <c r="AF4" s="227" t="s">
        <v>160</v>
      </c>
      <c r="AG4" s="227" t="s">
        <v>153</v>
      </c>
      <c r="AH4" s="227" t="s">
        <v>160</v>
      </c>
      <c r="AI4" s="227" t="s">
        <v>153</v>
      </c>
      <c r="AJ4" s="227" t="s">
        <v>160</v>
      </c>
      <c r="AK4" s="227" t="s">
        <v>153</v>
      </c>
      <c r="AL4" s="227" t="s">
        <v>160</v>
      </c>
      <c r="AM4" s="227" t="s">
        <v>153</v>
      </c>
      <c r="AN4" s="227" t="s">
        <v>160</v>
      </c>
      <c r="AO4" s="227" t="s">
        <v>153</v>
      </c>
      <c r="AP4" s="227" t="s">
        <v>160</v>
      </c>
      <c r="AQ4" s="227" t="s">
        <v>153</v>
      </c>
      <c r="AR4" s="227" t="s">
        <v>160</v>
      </c>
      <c r="AS4" s="227" t="s">
        <v>153</v>
      </c>
      <c r="AT4" s="227" t="s">
        <v>160</v>
      </c>
      <c r="AU4" s="227" t="s">
        <v>153</v>
      </c>
      <c r="AV4" s="227" t="s">
        <v>160</v>
      </c>
      <c r="AW4" s="227" t="s">
        <v>153</v>
      </c>
      <c r="AX4" s="227" t="s">
        <v>160</v>
      </c>
      <c r="AY4" s="227" t="s">
        <v>153</v>
      </c>
      <c r="AZ4" s="227" t="s">
        <v>160</v>
      </c>
      <c r="BA4" s="227" t="s">
        <v>153</v>
      </c>
      <c r="BB4" s="227" t="s">
        <v>160</v>
      </c>
      <c r="BC4" s="227" t="s">
        <v>153</v>
      </c>
      <c r="BD4" s="227" t="s">
        <v>160</v>
      </c>
      <c r="BE4" s="227" t="s">
        <v>153</v>
      </c>
    </row>
    <row r="5" spans="1:57" ht="15.75" thickBot="1">
      <c r="A5" s="226" t="s">
        <v>166</v>
      </c>
      <c r="B5" s="181">
        <f>'Cote-sal, angajator vs. PFA'!B15*12</f>
        <v>10724.400000000001</v>
      </c>
      <c r="C5" s="177">
        <v>100</v>
      </c>
      <c r="D5" s="177">
        <f>'Cote-sal, angajator vs. PFA'!F15*12</f>
        <v>314198.40000000002</v>
      </c>
      <c r="E5" s="177">
        <v>100</v>
      </c>
      <c r="F5" s="177">
        <f>'Cote-sal, angajator vs. PFA'!J15*12</f>
        <v>12780</v>
      </c>
      <c r="G5" s="177">
        <v>100</v>
      </c>
      <c r="H5" s="177">
        <f>'Cote-sal, angajator vs. PFA'!N15*12</f>
        <v>9816</v>
      </c>
      <c r="I5" s="177">
        <v>100</v>
      </c>
      <c r="J5" s="177">
        <f>'Cote-sal, angajator vs. PFA'!R15*12</f>
        <v>8821.2000000000007</v>
      </c>
      <c r="K5" s="177">
        <v>100</v>
      </c>
      <c r="L5" s="177">
        <f>'Cote-sal, angajator vs. PFA'!V15*12</f>
        <v>2977798.8</v>
      </c>
      <c r="M5" s="177">
        <v>100</v>
      </c>
      <c r="N5" s="181">
        <f>'Cote-sal, angajator vs. PFA'!Z15*12</f>
        <v>46202.399999999994</v>
      </c>
      <c r="O5" s="177">
        <v>100</v>
      </c>
      <c r="P5" s="181">
        <f>'Cote-sal, angajator vs. PFA'!AD15*12</f>
        <v>30714</v>
      </c>
      <c r="Q5" s="177">
        <v>100</v>
      </c>
      <c r="R5" s="181">
        <f>'Cote-sal, angajator vs. PFA'!AH15*12</f>
        <v>22191.599999999999</v>
      </c>
      <c r="S5" s="177">
        <v>100</v>
      </c>
      <c r="T5" s="177">
        <f>'Cote-sal, angajator vs. PFA'!AL15*12</f>
        <v>12304.800000000001</v>
      </c>
      <c r="U5" s="177">
        <v>100</v>
      </c>
      <c r="V5" s="177">
        <f>'Cote-sal, angajator vs. PFA'!AP15*12</f>
        <v>40677.600000000006</v>
      </c>
      <c r="W5" s="177">
        <v>100</v>
      </c>
      <c r="X5" s="177">
        <f>'Cote-sal, angajator vs. PFA'!AT15*12</f>
        <v>42861.600000000006</v>
      </c>
      <c r="Y5" s="177">
        <v>100</v>
      </c>
      <c r="Z5" s="177">
        <f>'Cote-sal, angajator vs. PFA'!AX15*12</f>
        <v>96912</v>
      </c>
      <c r="AA5" s="177">
        <v>100</v>
      </c>
      <c r="AB5" s="177">
        <f>+'Cote-sal, angajator vs. PFA'!BB15*12</f>
        <v>22539</v>
      </c>
      <c r="AC5" s="177">
        <v>100</v>
      </c>
      <c r="AD5" s="177">
        <f>'Cote-sal, angajator vs. PFA'!BF15*12</f>
        <v>428396.39999999997</v>
      </c>
      <c r="AE5" s="177">
        <v>100</v>
      </c>
      <c r="AF5" s="177">
        <f>'Cote-sal, angajator vs. PFA'!BJ15*12</f>
        <v>40893.600000000006</v>
      </c>
      <c r="AG5" s="177">
        <v>100</v>
      </c>
      <c r="AH5" s="177">
        <f>'Cote-sal, angajator vs. PFA'!BN15*12</f>
        <v>36490.800000000003</v>
      </c>
      <c r="AI5" s="177">
        <v>100</v>
      </c>
      <c r="AJ5" s="177">
        <f>'Cote-sal, angajator vs. PFA'!BR15*12</f>
        <v>37612.800000000003</v>
      </c>
      <c r="AK5" s="177">
        <v>100</v>
      </c>
      <c r="AL5" s="177">
        <f>'Cote-sal, angajator vs. PFA'!BV15*12</f>
        <v>17642.400000000001</v>
      </c>
      <c r="AM5" s="177">
        <v>100</v>
      </c>
      <c r="AN5" s="177">
        <f>'Cote-sal, angajator vs. PFA'!BZ15*12</f>
        <v>47366.399999999994</v>
      </c>
      <c r="AO5" s="177">
        <v>100</v>
      </c>
      <c r="AP5" s="177">
        <f>'Cote-sal, angajator vs. PFA'!CD15*12</f>
        <v>28890</v>
      </c>
      <c r="AQ5" s="177">
        <v>100</v>
      </c>
      <c r="AR5" s="177">
        <f>'Cote-sal, angajator vs. PFA'!CH15*12</f>
        <v>46383.600000000006</v>
      </c>
      <c r="AS5" s="177">
        <v>100</v>
      </c>
      <c r="AT5" s="181">
        <f>'Cote-sal, angajator vs. PFA'!CL15*12</f>
        <v>16368</v>
      </c>
      <c r="AU5" s="177">
        <v>100</v>
      </c>
      <c r="AV5" s="177">
        <f>'Cote-sal, angajator vs. PFA'!CP15*12</f>
        <v>27478.800000000003</v>
      </c>
      <c r="AW5" s="177">
        <v>100</v>
      </c>
      <c r="AX5" s="181">
        <f>'Cote-sal, angajator vs. PFA'!CT15*12</f>
        <v>33102</v>
      </c>
      <c r="AY5" s="177">
        <v>100</v>
      </c>
      <c r="AZ5" s="177">
        <f>'Cote-sal, angajator vs. PFA'!CX15*12</f>
        <v>60381.600000000006</v>
      </c>
      <c r="BA5" s="177">
        <v>100</v>
      </c>
      <c r="BB5" s="177">
        <f>+'Cote-sal, angajator vs. PFA'!DB15*12</f>
        <v>16546.74999999996</v>
      </c>
      <c r="BC5" s="177">
        <v>100</v>
      </c>
      <c r="BD5" s="181">
        <f>'Cote-sal, angajator vs. PFA'!DF15*12</f>
        <v>389385.6</v>
      </c>
      <c r="BE5" s="181">
        <v>100</v>
      </c>
    </row>
    <row r="6" spans="1:57" ht="15.75" thickBot="1">
      <c r="A6" s="226" t="s">
        <v>154</v>
      </c>
      <c r="B6" s="177">
        <f>B5*'Cote-sal, angajator vs. PFA'!D8/100</f>
        <v>3324.5640000000003</v>
      </c>
      <c r="C6" s="177">
        <f>B6/$B$5*100</f>
        <v>31</v>
      </c>
      <c r="D6" s="177">
        <f>D5*'Cote-sal, angajator vs. PFA'!H8/100</f>
        <v>141389.28000000003</v>
      </c>
      <c r="E6" s="177">
        <f>D6/$D$5*100</f>
        <v>45.000000000000007</v>
      </c>
      <c r="F6" s="177">
        <f>F5*'Cote-sal, angajator vs. PFA'!L8/100</f>
        <v>4524.12</v>
      </c>
      <c r="G6" s="177">
        <f>F6/$F$5*100</f>
        <v>35.4</v>
      </c>
      <c r="H6" s="177">
        <f>H5*'Cote-sal, angajator vs. PFA'!P8/100</f>
        <v>3346.2743999999993</v>
      </c>
      <c r="I6" s="177">
        <f>H6/$H$5*100</f>
        <v>34.089999999999989</v>
      </c>
      <c r="J6" s="177">
        <f>J5*'Cote-sal, angajator vs. PFA'!T8/100</f>
        <v>4075.3944000000006</v>
      </c>
      <c r="K6" s="177">
        <f>J6/$J$5*100</f>
        <v>46.2</v>
      </c>
      <c r="L6" s="177">
        <f>L5*'Cote-sal, angajator vs. PFA'!X8/100</f>
        <v>1354898.4540000001</v>
      </c>
      <c r="M6" s="177">
        <f>L6/$L$5*100</f>
        <v>45.500000000000007</v>
      </c>
      <c r="N6" s="181">
        <f>N5*'Cote-sal, angajator vs. PFA'!AB8/100</f>
        <v>18005.075279999997</v>
      </c>
      <c r="O6" s="177">
        <f>N6/$N$5*100</f>
        <v>38.97</v>
      </c>
      <c r="P6" s="181">
        <f>P5*'Cote-sal, angajator vs. PFA'!AF8/100</f>
        <v>12085.959000000001</v>
      </c>
      <c r="Q6" s="177">
        <f>P6/$P$5*100</f>
        <v>39.35</v>
      </c>
      <c r="R6" s="177">
        <f>R5*'Cote-sal, angajator vs. PFA'!AJ8/100</f>
        <v>8477.1911999999993</v>
      </c>
      <c r="S6" s="177">
        <f>R6/$R$5*100</f>
        <v>38.200000000000003</v>
      </c>
      <c r="T6" s="177">
        <f>T5*'Cote-sal, angajator vs. PFA'!AN8/100</f>
        <v>5980.1328000000003</v>
      </c>
      <c r="U6" s="177">
        <f>T6/$T$5*100</f>
        <v>48.6</v>
      </c>
      <c r="V6" s="177">
        <f>V5*'Cote-sal, angajator vs. PFA'!AR8/100</f>
        <v>15782.908800000003</v>
      </c>
      <c r="W6" s="177">
        <f>V6/$V$5*100</f>
        <v>38.800000000000004</v>
      </c>
      <c r="X6" s="177">
        <f>X5*'Cote-sal, angajator vs. PFA'!AV8/100</f>
        <v>20474.986320000004</v>
      </c>
      <c r="Y6" s="177">
        <f>X6/$X$5*100</f>
        <v>47.77</v>
      </c>
      <c r="Z6" s="177">
        <f>Z5*'Cote-sal, angajator vs. PFA'!AZ8/100</f>
        <v>31205.664000000004</v>
      </c>
      <c r="AA6" s="177">
        <f>Z6/$Z$5*100</f>
        <v>32.200000000000003</v>
      </c>
      <c r="AB6" s="177">
        <f>+AB5*'Cote-sal, angajator vs. PFA'!BB5/100</f>
        <v>1758.0419999999999</v>
      </c>
      <c r="AC6" s="177">
        <f>AB6/AB$5*100</f>
        <v>7.8</v>
      </c>
      <c r="AD6" s="177">
        <v>11136</v>
      </c>
      <c r="AE6" s="177">
        <f>AD6/$AD$5*100</f>
        <v>2.5994616201256595</v>
      </c>
      <c r="AF6" s="177">
        <f>AF5*29.33/100</f>
        <v>11994.092880000002</v>
      </c>
      <c r="AG6" s="177">
        <f>AF6/$AF$5*100</f>
        <v>29.330000000000002</v>
      </c>
      <c r="AH6" s="177">
        <f>AH5*55.14/100</f>
        <v>20121.027120000002</v>
      </c>
      <c r="AI6" s="177">
        <f>AH6/$AH$5*100</f>
        <v>55.14</v>
      </c>
      <c r="AJ6" s="177">
        <f>AJ5*'Cote-sal, angajator vs. PFA'!BT8/100</f>
        <v>14879.623680000001</v>
      </c>
      <c r="AK6" s="177">
        <f>AJ6/$AJ$5*100</f>
        <v>39.56</v>
      </c>
      <c r="AL6" s="177">
        <f>AL5*'Cote-sal, angajator vs. PFA'!BX8/100</f>
        <v>7094.0090400000008</v>
      </c>
      <c r="AM6" s="177">
        <f>AL6/$AL$5*100</f>
        <v>40.21</v>
      </c>
      <c r="AN6" s="177">
        <f>AN5*14.75/100</f>
        <v>6986.543999999999</v>
      </c>
      <c r="AO6" s="177">
        <f>AN6/$AN$5*100</f>
        <v>14.75</v>
      </c>
      <c r="AP6" s="177">
        <f>AP5*37.67/100</f>
        <v>10882.863000000001</v>
      </c>
      <c r="AQ6" s="177">
        <f>AP6/$AP$5*100</f>
        <v>37.67</v>
      </c>
      <c r="AR6" s="177">
        <f>33715*'Cote-sal, angajator vs. PFA'!CH8/100+'Cote-sal, angajator vs. PFA'!CI8/100*'Ex. presiune fiscala salariat'!AR5</f>
        <v>18057.823420000001</v>
      </c>
      <c r="AS6" s="177">
        <f>AR6/$AR$5*100</f>
        <v>38.931483153528404</v>
      </c>
      <c r="AT6" s="177">
        <f>AT5*'Cote-sal, angajator vs. PFA'!CN8/100</f>
        <v>5687.88</v>
      </c>
      <c r="AU6" s="177">
        <f>AT6/$AT$5*100</f>
        <v>34.75</v>
      </c>
      <c r="AV6" s="177">
        <f>AV5*'Cote-sal, angajator vs. PFA'!CR8/100</f>
        <v>9961.0650000000005</v>
      </c>
      <c r="AW6" s="177">
        <f>AV6/$AV$5*100</f>
        <v>36.25</v>
      </c>
      <c r="AX6" s="177">
        <f>(0.12*(AX5-7956))+(0.138*(AX5-7956))</f>
        <v>6487.6679999999997</v>
      </c>
      <c r="AY6" s="177">
        <f>AX6/$AX$5*100</f>
        <v>19.599021207177813</v>
      </c>
      <c r="AZ6" s="177">
        <f>AZ5*'Cote-sal, angajator vs. PFA'!CZ8/100</f>
        <v>15970.933200000003</v>
      </c>
      <c r="BA6" s="177">
        <f>AZ6/$AZ$5*100</f>
        <v>26.450000000000003</v>
      </c>
      <c r="BB6" s="177">
        <f>0.1663*8645.52+0.1*(BB5-8645.52)</f>
        <v>2227.872975999996</v>
      </c>
      <c r="BC6" s="177">
        <f>BB6/$BB$5*100</f>
        <v>13.464112142867943</v>
      </c>
      <c r="BD6" s="181">
        <f>BD5*'Cote-sal, angajator vs. PFA'!DH8/100</f>
        <v>149601.94752000002</v>
      </c>
      <c r="BE6" s="181">
        <f>BD6/$BD$5*100</f>
        <v>38.42</v>
      </c>
    </row>
    <row r="7" spans="1:57" ht="15.75" thickBot="1">
      <c r="A7" s="226" t="s">
        <v>155</v>
      </c>
      <c r="B7" s="177">
        <f>B5-B6</f>
        <v>7399.8360000000011</v>
      </c>
      <c r="C7" s="177">
        <f>B7/$B$5*100</f>
        <v>69</v>
      </c>
      <c r="D7" s="177">
        <f>D5-D6</f>
        <v>172809.12</v>
      </c>
      <c r="E7" s="177">
        <f t="shared" ref="E7:E10" si="0">D7/$D$5*100</f>
        <v>54.999999999999993</v>
      </c>
      <c r="F7" s="177">
        <f>F5-F6</f>
        <v>8255.880000000001</v>
      </c>
      <c r="G7" s="177">
        <f t="shared" ref="G7:G10" si="1">F7/$F$5*100</f>
        <v>64.600000000000009</v>
      </c>
      <c r="H7" s="177">
        <f>H5-H6</f>
        <v>6469.7256000000007</v>
      </c>
      <c r="I7" s="177">
        <f t="shared" ref="I7:I10" si="2">H7/$H$5*100</f>
        <v>65.91</v>
      </c>
      <c r="J7" s="177">
        <f>J5-J6</f>
        <v>4745.8055999999997</v>
      </c>
      <c r="K7" s="177">
        <f t="shared" ref="K7:K10" si="3">J7/$J$5*100</f>
        <v>53.79999999999999</v>
      </c>
      <c r="L7" s="177">
        <f>L5-L6</f>
        <v>1622900.3459999997</v>
      </c>
      <c r="M7" s="177">
        <f t="shared" ref="M7:M10" si="4">L7/$L$5*100</f>
        <v>54.499999999999993</v>
      </c>
      <c r="N7" s="181">
        <f>N5-N6</f>
        <v>28197.324719999997</v>
      </c>
      <c r="O7" s="177">
        <f t="shared" ref="O7:O10" si="5">N7/$N$5*100</f>
        <v>61.030000000000008</v>
      </c>
      <c r="P7" s="181">
        <f>P5-P6</f>
        <v>18628.040999999997</v>
      </c>
      <c r="Q7" s="177">
        <f t="shared" ref="Q7:Q10" si="6">P7/$P$5*100</f>
        <v>60.649999999999991</v>
      </c>
      <c r="R7" s="177">
        <f>R5-R6</f>
        <v>13714.408799999999</v>
      </c>
      <c r="S7" s="177">
        <f t="shared" ref="S7:S10" si="7">R7/$R$5*100</f>
        <v>61.8</v>
      </c>
      <c r="T7" s="177">
        <f>T5-T6</f>
        <v>6324.6672000000008</v>
      </c>
      <c r="U7" s="177">
        <f t="shared" ref="U7:U10" si="8">T7/$T$5*100</f>
        <v>51.4</v>
      </c>
      <c r="V7" s="177">
        <f>V5-V6</f>
        <v>24894.691200000001</v>
      </c>
      <c r="W7" s="177">
        <f t="shared" ref="W7:W10" si="9">V7/$V$5*100</f>
        <v>61.199999999999996</v>
      </c>
      <c r="X7" s="177">
        <f>X5-X6</f>
        <v>22386.613680000002</v>
      </c>
      <c r="Y7" s="177">
        <f t="shared" ref="Y7:Y10" si="10">X7/$X$5*100</f>
        <v>52.23</v>
      </c>
      <c r="Z7" s="177">
        <f>Z5-Z6</f>
        <v>65706.335999999996</v>
      </c>
      <c r="AA7" s="177">
        <f t="shared" ref="AA7:AA10" si="11">Z7/$Z$5*100</f>
        <v>67.8</v>
      </c>
      <c r="AB7" s="177">
        <f>+AB5-AB6</f>
        <v>20780.957999999999</v>
      </c>
      <c r="AC7" s="177">
        <f t="shared" ref="AC7:AC10" si="12">AB7/AB$5*100</f>
        <v>92.199999999999989</v>
      </c>
      <c r="AD7" s="177">
        <f>AD5-AD6</f>
        <v>417260.39999999997</v>
      </c>
      <c r="AE7" s="177">
        <f t="shared" ref="AE7:AE10" si="13">AD7/$AD$5*100</f>
        <v>97.400538379874334</v>
      </c>
      <c r="AF7" s="177">
        <f>AF5-AF6</f>
        <v>28899.507120000002</v>
      </c>
      <c r="AG7" s="177">
        <f t="shared" ref="AG7:AG10" si="14">AF7/$AF$5*100</f>
        <v>70.67</v>
      </c>
      <c r="AH7" s="177">
        <f>AH5-AH6</f>
        <v>16369.77288</v>
      </c>
      <c r="AI7" s="177">
        <f t="shared" ref="AI7:AI10" si="15">AH7/$AH$5*100</f>
        <v>44.86</v>
      </c>
      <c r="AJ7" s="177">
        <f>AJ5-AJ6</f>
        <v>22733.176320000002</v>
      </c>
      <c r="AK7" s="177">
        <f t="shared" ref="AK7:AK10" si="16">AJ7/$AJ$5*100</f>
        <v>60.440000000000005</v>
      </c>
      <c r="AL7" s="177">
        <f>AL5-AL6</f>
        <v>10548.390960000001</v>
      </c>
      <c r="AM7" s="177">
        <f t="shared" ref="AM7:AM10" si="17">AL7/$AL$5*100</f>
        <v>59.79</v>
      </c>
      <c r="AN7" s="177">
        <f>AN5-AN6</f>
        <v>40379.855999999992</v>
      </c>
      <c r="AO7" s="177">
        <f t="shared" ref="AO7:AO10" si="18">AN7/$AN$5*100</f>
        <v>85.249999999999986</v>
      </c>
      <c r="AP7" s="177">
        <f>AP5-AP6</f>
        <v>18007.136999999999</v>
      </c>
      <c r="AQ7" s="177">
        <f t="shared" ref="AQ7:AQ10" si="19">AP7/$AP$5*100</f>
        <v>62.33</v>
      </c>
      <c r="AR7" s="177">
        <f>AR5-AR6</f>
        <v>28325.776580000005</v>
      </c>
      <c r="AS7" s="177">
        <f t="shared" ref="AS7:AS10" si="20">AR7/$AR$5*100</f>
        <v>61.068516846471596</v>
      </c>
      <c r="AT7" s="177">
        <f>AT5-AT6</f>
        <v>10680.119999999999</v>
      </c>
      <c r="AU7" s="177">
        <f>AT7/$AT$5*100</f>
        <v>65.25</v>
      </c>
      <c r="AV7" s="177">
        <f>AV5-AV6</f>
        <v>17517.735000000001</v>
      </c>
      <c r="AW7" s="177">
        <f t="shared" ref="AW7:AW10" si="21">AV7/$AV$5*100</f>
        <v>63.749999999999993</v>
      </c>
      <c r="AX7" s="177">
        <f>AX5-AX6</f>
        <v>26614.332000000002</v>
      </c>
      <c r="AY7" s="177">
        <f t="shared" ref="AY7:AY10" si="22">AX7/$AX$5*100</f>
        <v>80.400978792822201</v>
      </c>
      <c r="AZ7" s="177">
        <f>AZ5-AZ6</f>
        <v>44410.666800000006</v>
      </c>
      <c r="BA7" s="177">
        <f t="shared" ref="BA7:BA10" si="23">AZ7/$AZ$5*100</f>
        <v>73.550000000000011</v>
      </c>
      <c r="BB7" s="177">
        <f>+BB5-BB6</f>
        <v>14318.877023999965</v>
      </c>
      <c r="BC7" s="177">
        <f t="shared" ref="BC7:BC10" si="24">BB7/$BB$5*100</f>
        <v>86.535887857132067</v>
      </c>
      <c r="BD7" s="181">
        <f>BD5-BD6</f>
        <v>239783.65247999996</v>
      </c>
      <c r="BE7" s="181">
        <f t="shared" ref="BE7:BE10" si="25">BD7/$BD$5*100</f>
        <v>61.579999999999991</v>
      </c>
    </row>
    <row r="8" spans="1:57" ht="15.75" thickBot="1">
      <c r="A8" s="226" t="s">
        <v>150</v>
      </c>
      <c r="B8" s="177">
        <f>B7*'Cote-sal, angajator vs. PFA'!B4/100</f>
        <v>739.98360000000014</v>
      </c>
      <c r="C8" s="177">
        <f t="shared" ref="C8:C10" si="26">B8/$B$5*100</f>
        <v>6.9</v>
      </c>
      <c r="D8" s="177">
        <f>D7*'Cote-sal, angajator vs. PFA'!F4/100</f>
        <v>25921.367999999999</v>
      </c>
      <c r="E8" s="177">
        <f t="shared" si="0"/>
        <v>8.2499999999999982</v>
      </c>
      <c r="F8" s="177">
        <f>F7*'Cote-sal, angajator vs. PFA'!J4/100</f>
        <v>1651.1760000000004</v>
      </c>
      <c r="G8" s="177">
        <f t="shared" si="1"/>
        <v>12.920000000000003</v>
      </c>
      <c r="H8" s="177">
        <f>H7*'Cote-sal, angajator vs. PFA'!N4/100</f>
        <v>1488.0368880000001</v>
      </c>
      <c r="I8" s="177">
        <f t="shared" si="2"/>
        <v>15.1593</v>
      </c>
      <c r="J8" s="177">
        <f>(J7-3480)*'Cote-sal, angajator vs. PFA'!R4/100</f>
        <v>189.87083999999996</v>
      </c>
      <c r="K8" s="177">
        <f t="shared" si="3"/>
        <v>2.1524377635695817</v>
      </c>
      <c r="L8" s="177">
        <f>L7*'Cote-sal, angajator vs. PFA'!V4/100</f>
        <v>259664.05535999994</v>
      </c>
      <c r="M8" s="177">
        <f t="shared" si="4"/>
        <v>8.7199999999999989</v>
      </c>
      <c r="N8" s="181">
        <f>(N7-3091)*18/100</f>
        <v>4519.1384495999991</v>
      </c>
      <c r="O8" s="177">
        <f t="shared" si="5"/>
        <v>9.7811768427614147</v>
      </c>
      <c r="P8" s="181">
        <f>P7*'Cote-sal, angajator vs. PFA'!AD4/100</f>
        <v>2980.4865599999994</v>
      </c>
      <c r="Q8" s="177">
        <f t="shared" si="6"/>
        <v>9.7039999999999971</v>
      </c>
      <c r="R8" s="177">
        <f>(16/100*8021.34)+(27/100*('Ex. presiune fiscala salariat'!R7-8021.34))</f>
        <v>2820.5429759999997</v>
      </c>
      <c r="S8" s="177">
        <f t="shared" si="7"/>
        <v>12.709957713729519</v>
      </c>
      <c r="T8" s="177">
        <f>T7*19/100</f>
        <v>1201.6867680000003</v>
      </c>
      <c r="U8" s="177">
        <f t="shared" si="8"/>
        <v>9.7660000000000018</v>
      </c>
      <c r="V8" s="177">
        <f>(V7-11000)*36.5/100</f>
        <v>5071.5622880000001</v>
      </c>
      <c r="W8" s="177">
        <f t="shared" si="9"/>
        <v>12.46770283399217</v>
      </c>
      <c r="X8" s="177">
        <f>(0.25*8680)+(0.3*(12360-8680))+(0.4*(20600-12360))+(0.45*(X7-20600))</f>
        <v>7373.9761560000006</v>
      </c>
      <c r="Y8" s="177">
        <f t="shared" si="10"/>
        <v>17.204155131866287</v>
      </c>
      <c r="Z8" s="177">
        <f>(0.12*26400)+(0.25*(Z7-26400))</f>
        <v>12994.583999999999</v>
      </c>
      <c r="AA8" s="177">
        <f t="shared" si="11"/>
        <v>13.408642892521049</v>
      </c>
      <c r="AB8" s="177">
        <f>0.2*(AB7-19500)</f>
        <v>256.19159999999977</v>
      </c>
      <c r="AC8" s="177">
        <f t="shared" si="12"/>
        <v>1.1366591241847455</v>
      </c>
      <c r="AD8" s="177">
        <f>AD7*'Cote-sal, angajator vs. PFA'!BF4/100</f>
        <v>175249.36799999996</v>
      </c>
      <c r="AE8" s="177">
        <f t="shared" si="13"/>
        <v>40.908226119547216</v>
      </c>
      <c r="AF8" s="177">
        <f>(0.065*(24700-16500))+(0.175*(AF7-24700))</f>
        <v>1267.9137460000002</v>
      </c>
      <c r="AG8" s="177">
        <f t="shared" si="14"/>
        <v>3.100518775554121</v>
      </c>
      <c r="AH8" s="177">
        <f>(0.14*(AH7-9690))</f>
        <v>935.16820320000011</v>
      </c>
      <c r="AI8" s="177">
        <f t="shared" si="15"/>
        <v>2.5627506198822716</v>
      </c>
      <c r="AJ8" s="177">
        <f>AJ7*'Cote-sal, angajator vs. PFA'!BR4/100</f>
        <v>4887.6329088000002</v>
      </c>
      <c r="AK8" s="177">
        <f t="shared" si="16"/>
        <v>12.9946</v>
      </c>
      <c r="AL8" s="177">
        <f>AL7*22/100</f>
        <v>2320.6460112</v>
      </c>
      <c r="AM8" s="177">
        <f t="shared" si="17"/>
        <v>13.153799999999999</v>
      </c>
      <c r="AN8" s="177">
        <f>(0.2*33800)+(0.4*(AN7-33800))</f>
        <v>9391.9423999999963</v>
      </c>
      <c r="AO8" s="177">
        <f t="shared" si="18"/>
        <v>19.828279962167269</v>
      </c>
      <c r="AP8" s="177">
        <f>(0.23*15000)+(0.27*(AP7-15000.01))</f>
        <v>4261.9242899999999</v>
      </c>
      <c r="AQ8" s="177">
        <f t="shared" si="19"/>
        <v>14.752247455867082</v>
      </c>
      <c r="AR8" s="177">
        <f>(0.365*19822)+(0.42*(AR7-19822))</f>
        <v>10806.616163600002</v>
      </c>
      <c r="AS8" s="177">
        <f t="shared" si="20"/>
        <v>23.298355805931408</v>
      </c>
      <c r="AT8" s="177">
        <f>(0.145*7000)+(0.285*(AT7-7000))</f>
        <v>2063.8341999999993</v>
      </c>
      <c r="AU8" s="177">
        <f t="shared" ref="AU8:AU10" si="27">AT8/$AT$5*100</f>
        <v>12.608957722385139</v>
      </c>
      <c r="AV8" s="177">
        <f>(0.2*12450)+(0.25*(AV7-12450))</f>
        <v>3756.9337500000001</v>
      </c>
      <c r="AW8" s="177">
        <f t="shared" si="21"/>
        <v>13.672117232193544</v>
      </c>
      <c r="AX8" s="177">
        <f>AX7*20/100</f>
        <v>5322.8663999999999</v>
      </c>
      <c r="AY8" s="177">
        <f t="shared" si="22"/>
        <v>16.080195758564436</v>
      </c>
      <c r="AZ8" s="177">
        <f>(0.08*(13172-11265))+(0.1*(15080-13173))+(0.12*(16988-15081))+(0.14*(18896-16989))+(0.16*(20804-18897))+(0.18*(22712-20805))+(0.2*(24620-22713))+(0.22*(26528-24621))+(0.24*(28436-26529))+(0.26*(30344-28437))+(0.28*(32252-30345))+(0.3*(34160-32253))+(0.32*(36068-34161))+(0.34*(37976-36069))+(0.36*(39854-37977))+(0.38*(41792-39855))+(0.39*(AZ7-41793))</f>
        <v>8039.2500520000031</v>
      </c>
      <c r="BA8" s="177">
        <f t="shared" si="23"/>
        <v>13.314072585025905</v>
      </c>
      <c r="BB8" s="177">
        <f>0.15*(BB7-8500)</f>
        <v>872.83155359999466</v>
      </c>
      <c r="BC8" s="177">
        <f t="shared" si="24"/>
        <v>5.2749425331258211</v>
      </c>
      <c r="BD8" s="181">
        <v>0</v>
      </c>
      <c r="BE8" s="181">
        <f t="shared" si="25"/>
        <v>0</v>
      </c>
    </row>
    <row r="9" spans="1:57" ht="15.75" thickBot="1">
      <c r="A9" s="226" t="s">
        <v>167</v>
      </c>
      <c r="B9" s="177">
        <f>B6+B8</f>
        <v>4064.5476000000003</v>
      </c>
      <c r="C9" s="177">
        <f t="shared" si="26"/>
        <v>37.9</v>
      </c>
      <c r="D9" s="177">
        <f>D6+D8</f>
        <v>167310.64800000002</v>
      </c>
      <c r="E9" s="177">
        <f t="shared" si="0"/>
        <v>53.25</v>
      </c>
      <c r="F9" s="177">
        <f>F6+F8</f>
        <v>6175.2960000000003</v>
      </c>
      <c r="G9" s="177">
        <f t="shared" si="1"/>
        <v>48.32</v>
      </c>
      <c r="H9" s="177">
        <f>H6+H8</f>
        <v>4834.311287999999</v>
      </c>
      <c r="I9" s="177">
        <f t="shared" si="2"/>
        <v>49.249299999999991</v>
      </c>
      <c r="J9" s="177">
        <f>J6+J8</f>
        <v>4265.2652400000006</v>
      </c>
      <c r="K9" s="177">
        <f t="shared" si="3"/>
        <v>48.352437763569583</v>
      </c>
      <c r="L9" s="177">
        <f>L8+L6</f>
        <v>1614562.50936</v>
      </c>
      <c r="M9" s="177">
        <f t="shared" si="4"/>
        <v>54.22</v>
      </c>
      <c r="N9" s="181">
        <f>N8+N6</f>
        <v>22524.213729599996</v>
      </c>
      <c r="O9" s="177">
        <f t="shared" si="5"/>
        <v>48.75117684276141</v>
      </c>
      <c r="P9" s="181">
        <f>P8+P6</f>
        <v>15066.44556</v>
      </c>
      <c r="Q9" s="177">
        <f t="shared" si="6"/>
        <v>49.053999999999995</v>
      </c>
      <c r="R9" s="177">
        <f>R8+R6</f>
        <v>11297.734175999998</v>
      </c>
      <c r="S9" s="177">
        <f t="shared" si="7"/>
        <v>50.909957713729511</v>
      </c>
      <c r="T9" s="177">
        <f>T6+T8</f>
        <v>7181.8195680000008</v>
      </c>
      <c r="U9" s="177">
        <f t="shared" si="8"/>
        <v>58.366000000000007</v>
      </c>
      <c r="V9" s="177">
        <f>V6+V8</f>
        <v>20854.471088000002</v>
      </c>
      <c r="W9" s="177">
        <f t="shared" si="9"/>
        <v>51.267702833992168</v>
      </c>
      <c r="X9" s="177">
        <f>X6+X8</f>
        <v>27848.962476000004</v>
      </c>
      <c r="Y9" s="177">
        <f t="shared" si="10"/>
        <v>64.974155131866283</v>
      </c>
      <c r="Z9" s="177">
        <f>Z6+Z8</f>
        <v>44200.248000000007</v>
      </c>
      <c r="AA9" s="177">
        <f t="shared" si="11"/>
        <v>45.608642892521054</v>
      </c>
      <c r="AB9" s="177">
        <f>AB6+AB8</f>
        <v>2014.2335999999996</v>
      </c>
      <c r="AC9" s="177">
        <f t="shared" si="12"/>
        <v>8.9366591241847448</v>
      </c>
      <c r="AD9" s="177">
        <f>AD6+AD8</f>
        <v>186385.36799999996</v>
      </c>
      <c r="AE9" s="177">
        <f t="shared" si="13"/>
        <v>43.507687739672882</v>
      </c>
      <c r="AF9" s="177">
        <f>AF6+AF8</f>
        <v>13262.006626000002</v>
      </c>
      <c r="AG9" s="177">
        <f t="shared" si="14"/>
        <v>32.430518775554127</v>
      </c>
      <c r="AH9" s="177">
        <f>AH6+AH8</f>
        <v>21056.195323200001</v>
      </c>
      <c r="AI9" s="177">
        <f t="shared" si="15"/>
        <v>57.702750619882273</v>
      </c>
      <c r="AJ9" s="177">
        <f>AJ6+AJ8</f>
        <v>19767.256588800003</v>
      </c>
      <c r="AK9" s="177">
        <f t="shared" si="16"/>
        <v>52.554600000000008</v>
      </c>
      <c r="AL9" s="177">
        <f>AL6+AL8</f>
        <v>9414.6550512000013</v>
      </c>
      <c r="AM9" s="177">
        <f t="shared" si="17"/>
        <v>53.363800000000005</v>
      </c>
      <c r="AN9" s="177">
        <f>AN6+AN8</f>
        <v>16378.486399999994</v>
      </c>
      <c r="AO9" s="177">
        <f t="shared" si="18"/>
        <v>34.578279962167272</v>
      </c>
      <c r="AP9" s="177">
        <f>AP6+AP8</f>
        <v>15144.78729</v>
      </c>
      <c r="AQ9" s="177">
        <f t="shared" si="19"/>
        <v>52.422247455867087</v>
      </c>
      <c r="AR9" s="177">
        <f>AR6+AR8</f>
        <v>28864.439583600004</v>
      </c>
      <c r="AS9" s="177">
        <f t="shared" si="20"/>
        <v>62.229838959459805</v>
      </c>
      <c r="AT9" s="177">
        <f>AT8+AT6</f>
        <v>7751.7141999999994</v>
      </c>
      <c r="AU9" s="177">
        <f t="shared" si="27"/>
        <v>47.358957722385135</v>
      </c>
      <c r="AV9" s="177">
        <f>AV6+AV8</f>
        <v>13717.998750000001</v>
      </c>
      <c r="AW9" s="177">
        <f t="shared" si="21"/>
        <v>49.922117232193543</v>
      </c>
      <c r="AX9" s="177">
        <f>AX6+AX8</f>
        <v>11810.5344</v>
      </c>
      <c r="AY9" s="177">
        <f t="shared" si="22"/>
        <v>35.679216965742256</v>
      </c>
      <c r="AZ9" s="177">
        <f>AZ6+AZ8</f>
        <v>24010.183252000006</v>
      </c>
      <c r="BA9" s="177">
        <f t="shared" si="23"/>
        <v>39.764072585025907</v>
      </c>
      <c r="BB9" s="177">
        <f>BB6+BB8</f>
        <v>3100.7045295999906</v>
      </c>
      <c r="BC9" s="177">
        <f t="shared" si="24"/>
        <v>18.739054675993764</v>
      </c>
      <c r="BD9" s="181">
        <f>BD8+BD6</f>
        <v>149601.94752000002</v>
      </c>
      <c r="BE9" s="181">
        <f t="shared" si="25"/>
        <v>38.42</v>
      </c>
    </row>
    <row r="10" spans="1:57">
      <c r="A10" s="226" t="s">
        <v>156</v>
      </c>
      <c r="B10" s="177">
        <f>B5-B9</f>
        <v>6659.8524000000016</v>
      </c>
      <c r="C10" s="177">
        <f t="shared" si="26"/>
        <v>62.100000000000009</v>
      </c>
      <c r="D10" s="177">
        <f>D5-D9</f>
        <v>146887.75200000001</v>
      </c>
      <c r="E10" s="177">
        <f t="shared" si="0"/>
        <v>46.75</v>
      </c>
      <c r="F10" s="177">
        <f>F5-F9</f>
        <v>6604.7039999999997</v>
      </c>
      <c r="G10" s="177">
        <f t="shared" si="1"/>
        <v>51.679999999999993</v>
      </c>
      <c r="H10" s="177">
        <f>H5-H9</f>
        <v>4981.688712000001</v>
      </c>
      <c r="I10" s="177">
        <f t="shared" si="2"/>
        <v>50.750700000000016</v>
      </c>
      <c r="J10" s="177">
        <f>J5-J9</f>
        <v>4555.9347600000001</v>
      </c>
      <c r="K10" s="177">
        <f t="shared" si="3"/>
        <v>51.64756223643041</v>
      </c>
      <c r="L10" s="177">
        <f>L5-L9</f>
        <v>1363236.2906399998</v>
      </c>
      <c r="M10" s="177">
        <f t="shared" si="4"/>
        <v>45.78</v>
      </c>
      <c r="N10" s="181">
        <f>N5-N9</f>
        <v>23678.186270399998</v>
      </c>
      <c r="O10" s="177">
        <f t="shared" si="5"/>
        <v>51.24882315723859</v>
      </c>
      <c r="P10" s="181">
        <f>P5-P9</f>
        <v>15647.55444</v>
      </c>
      <c r="Q10" s="177">
        <f t="shared" si="6"/>
        <v>50.946000000000005</v>
      </c>
      <c r="R10" s="177">
        <f>R5-R9</f>
        <v>10893.865824</v>
      </c>
      <c r="S10" s="177">
        <f t="shared" si="7"/>
        <v>49.090042286270489</v>
      </c>
      <c r="T10" s="177">
        <f>T5-T9</f>
        <v>5122.9804320000003</v>
      </c>
      <c r="U10" s="177">
        <f t="shared" si="8"/>
        <v>41.634</v>
      </c>
      <c r="V10" s="177">
        <f>V5-V9</f>
        <v>19823.128912000004</v>
      </c>
      <c r="W10" s="177">
        <f t="shared" si="9"/>
        <v>48.732297166007832</v>
      </c>
      <c r="X10" s="177">
        <f>X5-X9</f>
        <v>15012.637524000002</v>
      </c>
      <c r="Y10" s="177">
        <f t="shared" si="10"/>
        <v>35.025844868133717</v>
      </c>
      <c r="Z10" s="177">
        <f>Z5-Z9</f>
        <v>52711.751999999993</v>
      </c>
      <c r="AA10" s="177">
        <f t="shared" si="11"/>
        <v>54.391357107478946</v>
      </c>
      <c r="AB10" s="177">
        <f>AB5-AB9</f>
        <v>20524.7664</v>
      </c>
      <c r="AC10" s="177">
        <f t="shared" si="12"/>
        <v>91.063340875815257</v>
      </c>
      <c r="AD10" s="177">
        <f>AD5-AD9</f>
        <v>242011.03200000001</v>
      </c>
      <c r="AE10" s="177">
        <f t="shared" si="13"/>
        <v>56.492312260327125</v>
      </c>
      <c r="AF10" s="177">
        <f>AF5-AF9</f>
        <v>27631.593374000004</v>
      </c>
      <c r="AG10" s="177">
        <f t="shared" si="14"/>
        <v>67.56948122444588</v>
      </c>
      <c r="AH10" s="177">
        <f>AH5-AH9</f>
        <v>15434.604676800001</v>
      </c>
      <c r="AI10" s="177">
        <f t="shared" si="15"/>
        <v>42.297249380117727</v>
      </c>
      <c r="AJ10" s="177">
        <f>AJ5-AJ9</f>
        <v>17845.5434112</v>
      </c>
      <c r="AK10" s="177">
        <f t="shared" si="16"/>
        <v>47.445399999999999</v>
      </c>
      <c r="AL10" s="177">
        <f>AL5-AL9</f>
        <v>8227.7449488000002</v>
      </c>
      <c r="AM10" s="177">
        <f t="shared" si="17"/>
        <v>46.636200000000002</v>
      </c>
      <c r="AN10" s="177">
        <f>AN5-AN9</f>
        <v>30987.9136</v>
      </c>
      <c r="AO10" s="177">
        <f t="shared" si="18"/>
        <v>65.421720037832728</v>
      </c>
      <c r="AP10" s="177">
        <f>AP5-AP9</f>
        <v>13745.21271</v>
      </c>
      <c r="AQ10" s="177">
        <f t="shared" si="19"/>
        <v>47.57775254413292</v>
      </c>
      <c r="AR10" s="177">
        <f>AR5-AR9</f>
        <v>17519.160416400002</v>
      </c>
      <c r="AS10" s="177">
        <f t="shared" si="20"/>
        <v>37.770161040540188</v>
      </c>
      <c r="AT10" s="177">
        <f>AT5-AT9</f>
        <v>8616.2858000000015</v>
      </c>
      <c r="AU10" s="177">
        <f t="shared" si="27"/>
        <v>52.641042277614872</v>
      </c>
      <c r="AV10" s="177">
        <f>AV5-AV9</f>
        <v>13760.801250000002</v>
      </c>
      <c r="AW10" s="177">
        <f t="shared" si="21"/>
        <v>50.077882767806457</v>
      </c>
      <c r="AX10" s="177">
        <f>AX5-AX9</f>
        <v>21291.4656</v>
      </c>
      <c r="AY10" s="177">
        <f t="shared" si="22"/>
        <v>64.320783034257744</v>
      </c>
      <c r="AZ10" s="177">
        <f>AZ5-AZ9</f>
        <v>36371.416748000003</v>
      </c>
      <c r="BA10" s="177">
        <f t="shared" si="23"/>
        <v>60.2359274149741</v>
      </c>
      <c r="BB10" s="177">
        <f>BB5-BB9</f>
        <v>13446.045470399969</v>
      </c>
      <c r="BC10" s="177">
        <f t="shared" si="24"/>
        <v>81.260945324006244</v>
      </c>
      <c r="BD10" s="181">
        <f>BD5-BD9</f>
        <v>239783.65247999996</v>
      </c>
      <c r="BE10" s="181">
        <f t="shared" si="25"/>
        <v>61.579999999999991</v>
      </c>
    </row>
    <row r="11" spans="1:57" ht="25.5">
      <c r="A11" s="228" t="s">
        <v>210</v>
      </c>
      <c r="B11" s="366">
        <v>23</v>
      </c>
      <c r="C11" s="366"/>
      <c r="D11" s="366">
        <v>7</v>
      </c>
      <c r="E11" s="366"/>
      <c r="F11" s="366">
        <v>17</v>
      </c>
      <c r="G11" s="366"/>
      <c r="H11" s="366">
        <v>13</v>
      </c>
      <c r="I11" s="366"/>
      <c r="J11" s="366">
        <v>16</v>
      </c>
      <c r="K11" s="366"/>
      <c r="L11" s="366">
        <v>5</v>
      </c>
      <c r="M11" s="366"/>
      <c r="N11" s="366">
        <v>15</v>
      </c>
      <c r="O11" s="366"/>
      <c r="P11" s="366">
        <v>14</v>
      </c>
      <c r="Q11" s="366"/>
      <c r="R11" s="366">
        <v>11</v>
      </c>
      <c r="S11" s="366"/>
      <c r="T11" s="366">
        <v>3</v>
      </c>
      <c r="U11" s="366"/>
      <c r="V11" s="366">
        <v>10</v>
      </c>
      <c r="W11" s="366"/>
      <c r="X11" s="366">
        <v>1</v>
      </c>
      <c r="Y11" s="366"/>
      <c r="Z11" s="366">
        <v>19</v>
      </c>
      <c r="AA11" s="366"/>
      <c r="AB11" s="366">
        <v>28</v>
      </c>
      <c r="AC11" s="366"/>
      <c r="AD11" s="366">
        <v>20</v>
      </c>
      <c r="AE11" s="366"/>
      <c r="AF11" s="366">
        <v>26</v>
      </c>
      <c r="AG11" s="366"/>
      <c r="AH11" s="366">
        <v>4</v>
      </c>
      <c r="AI11" s="366"/>
      <c r="AJ11" s="366">
        <v>8</v>
      </c>
      <c r="AK11" s="366"/>
      <c r="AL11" s="366">
        <v>6</v>
      </c>
      <c r="AM11" s="366"/>
      <c r="AN11" s="366">
        <v>25</v>
      </c>
      <c r="AO11" s="366"/>
      <c r="AP11" s="366">
        <v>9</v>
      </c>
      <c r="AQ11" s="366"/>
      <c r="AR11" s="366">
        <v>2</v>
      </c>
      <c r="AS11" s="366"/>
      <c r="AT11" s="366">
        <v>18</v>
      </c>
      <c r="AU11" s="366"/>
      <c r="AV11" s="366">
        <v>12</v>
      </c>
      <c r="AW11" s="366"/>
      <c r="AX11" s="366">
        <v>24</v>
      </c>
      <c r="AY11" s="366"/>
      <c r="AZ11" s="366">
        <v>21</v>
      </c>
      <c r="BA11" s="366"/>
      <c r="BB11" s="366">
        <v>27</v>
      </c>
      <c r="BC11" s="366"/>
      <c r="BD11" s="366">
        <v>22</v>
      </c>
      <c r="BE11" s="366"/>
    </row>
    <row r="14" spans="1:57" ht="133.15" customHeight="1"/>
  </sheetData>
  <sortState ref="H15:I69">
    <sortCondition descending="1" ref="I15:I69"/>
  </sortState>
  <mergeCells count="56">
    <mergeCell ref="AX3:AY3"/>
    <mergeCell ref="AZ3:BA3"/>
    <mergeCell ref="BB3:BC3"/>
    <mergeCell ref="BD3:BE3"/>
    <mergeCell ref="AL3:AM3"/>
    <mergeCell ref="AN3:AO3"/>
    <mergeCell ref="AP3:AQ3"/>
    <mergeCell ref="AR3:AS3"/>
    <mergeCell ref="AT3:AU3"/>
    <mergeCell ref="AV3:AW3"/>
    <mergeCell ref="AH3:AI3"/>
    <mergeCell ref="AJ3:AK3"/>
    <mergeCell ref="N3:O3"/>
    <mergeCell ref="P3:Q3"/>
    <mergeCell ref="R3:S3"/>
    <mergeCell ref="T3:U3"/>
    <mergeCell ref="V3:W3"/>
    <mergeCell ref="X3:Y3"/>
    <mergeCell ref="Z3:AA3"/>
    <mergeCell ref="AB3:AC3"/>
    <mergeCell ref="AD3:AE3"/>
    <mergeCell ref="L11:M11"/>
    <mergeCell ref="N11:O11"/>
    <mergeCell ref="P11:Q11"/>
    <mergeCell ref="R11:S11"/>
    <mergeCell ref="AF3:AG3"/>
    <mergeCell ref="L3:M3"/>
    <mergeCell ref="T11:U11"/>
    <mergeCell ref="V11:W11"/>
    <mergeCell ref="X11:Y11"/>
    <mergeCell ref="Z11:AA11"/>
    <mergeCell ref="AB11:AC11"/>
    <mergeCell ref="AD11:AE11"/>
    <mergeCell ref="AF11:AG11"/>
    <mergeCell ref="B11:C11"/>
    <mergeCell ref="D11:E11"/>
    <mergeCell ref="F11:G11"/>
    <mergeCell ref="H11:I11"/>
    <mergeCell ref="J11:K11"/>
    <mergeCell ref="B3:C3"/>
    <mergeCell ref="D3:E3"/>
    <mergeCell ref="F3:G3"/>
    <mergeCell ref="H3:I3"/>
    <mergeCell ref="J3:K3"/>
    <mergeCell ref="AH11:AI11"/>
    <mergeCell ref="AJ11:AK11"/>
    <mergeCell ref="AL11:AM11"/>
    <mergeCell ref="AX11:AY11"/>
    <mergeCell ref="AZ11:BA11"/>
    <mergeCell ref="BB11:BC11"/>
    <mergeCell ref="BD11:BE11"/>
    <mergeCell ref="AN11:AO11"/>
    <mergeCell ref="AP11:AQ11"/>
    <mergeCell ref="AR11:AS11"/>
    <mergeCell ref="AT11:AU11"/>
    <mergeCell ref="AV11:AW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G73"/>
  <sheetViews>
    <sheetView tabSelected="1" topLeftCell="B7" zoomScale="116" zoomScaleNormal="116" workbookViewId="0">
      <pane xSplit="1" topLeftCell="C1" activePane="topRight" state="frozen"/>
      <selection activeCell="B1" sqref="B1"/>
      <selection pane="topRight" activeCell="B14" sqref="B14:BF14"/>
    </sheetView>
  </sheetViews>
  <sheetFormatPr defaultRowHeight="12.75"/>
  <cols>
    <col min="1" max="1" width="0" style="134" hidden="1" customWidth="1"/>
    <col min="2" max="2" width="18.85546875" style="134" customWidth="1"/>
    <col min="3" max="56" width="11.7109375" style="134" customWidth="1"/>
    <col min="57" max="57" width="13.7109375" style="134" customWidth="1"/>
    <col min="58" max="58" width="11.7109375" style="134" customWidth="1"/>
    <col min="59" max="303" width="8.85546875" style="134"/>
    <col min="304" max="304" width="17.28515625" style="134" customWidth="1"/>
    <col min="305" max="305" width="12.7109375" style="134" customWidth="1"/>
    <col min="306" max="306" width="14.7109375" style="134" customWidth="1"/>
    <col min="307" max="307" width="12.42578125" style="134" customWidth="1"/>
    <col min="308" max="308" width="12.28515625" style="134" customWidth="1"/>
    <col min="309" max="309" width="12.7109375" style="134" customWidth="1"/>
    <col min="310" max="310" width="12.42578125" style="134" customWidth="1"/>
    <col min="311" max="311" width="13.85546875" style="134" customWidth="1"/>
    <col min="312" max="312" width="20.28515625" style="134" customWidth="1"/>
    <col min="313" max="313" width="11.7109375" style="134" customWidth="1"/>
    <col min="314" max="314" width="17.42578125" style="134" customWidth="1"/>
    <col min="315" max="559" width="8.85546875" style="134"/>
    <col min="560" max="560" width="17.28515625" style="134" customWidth="1"/>
    <col min="561" max="561" width="12.7109375" style="134" customWidth="1"/>
    <col min="562" max="562" width="14.7109375" style="134" customWidth="1"/>
    <col min="563" max="563" width="12.42578125" style="134" customWidth="1"/>
    <col min="564" max="564" width="12.28515625" style="134" customWidth="1"/>
    <col min="565" max="565" width="12.7109375" style="134" customWidth="1"/>
    <col min="566" max="566" width="12.42578125" style="134" customWidth="1"/>
    <col min="567" max="567" width="13.85546875" style="134" customWidth="1"/>
    <col min="568" max="568" width="20.28515625" style="134" customWidth="1"/>
    <col min="569" max="569" width="11.7109375" style="134" customWidth="1"/>
    <col min="570" max="570" width="17.42578125" style="134" customWidth="1"/>
    <col min="571" max="815" width="8.85546875" style="134"/>
    <col min="816" max="816" width="17.28515625" style="134" customWidth="1"/>
    <col min="817" max="817" width="12.7109375" style="134" customWidth="1"/>
    <col min="818" max="818" width="14.7109375" style="134" customWidth="1"/>
    <col min="819" max="819" width="12.42578125" style="134" customWidth="1"/>
    <col min="820" max="820" width="12.28515625" style="134" customWidth="1"/>
    <col min="821" max="821" width="12.7109375" style="134" customWidth="1"/>
    <col min="822" max="822" width="12.42578125" style="134" customWidth="1"/>
    <col min="823" max="823" width="13.85546875" style="134" customWidth="1"/>
    <col min="824" max="824" width="20.28515625" style="134" customWidth="1"/>
    <col min="825" max="825" width="11.7109375" style="134" customWidth="1"/>
    <col min="826" max="826" width="17.42578125" style="134" customWidth="1"/>
    <col min="827" max="1071" width="8.85546875" style="134"/>
    <col min="1072" max="1072" width="17.28515625" style="134" customWidth="1"/>
    <col min="1073" max="1073" width="12.7109375" style="134" customWidth="1"/>
    <col min="1074" max="1074" width="14.7109375" style="134" customWidth="1"/>
    <col min="1075" max="1075" width="12.42578125" style="134" customWidth="1"/>
    <col min="1076" max="1076" width="12.28515625" style="134" customWidth="1"/>
    <col min="1077" max="1077" width="12.7109375" style="134" customWidth="1"/>
    <col min="1078" max="1078" width="12.42578125" style="134" customWidth="1"/>
    <col min="1079" max="1079" width="13.85546875" style="134" customWidth="1"/>
    <col min="1080" max="1080" width="20.28515625" style="134" customWidth="1"/>
    <col min="1081" max="1081" width="11.7109375" style="134" customWidth="1"/>
    <col min="1082" max="1082" width="17.42578125" style="134" customWidth="1"/>
    <col min="1083" max="1327" width="8.85546875" style="134"/>
    <col min="1328" max="1328" width="17.28515625" style="134" customWidth="1"/>
    <col min="1329" max="1329" width="12.7109375" style="134" customWidth="1"/>
    <col min="1330" max="1330" width="14.7109375" style="134" customWidth="1"/>
    <col min="1331" max="1331" width="12.42578125" style="134" customWidth="1"/>
    <col min="1332" max="1332" width="12.28515625" style="134" customWidth="1"/>
    <col min="1333" max="1333" width="12.7109375" style="134" customWidth="1"/>
    <col min="1334" max="1334" width="12.42578125" style="134" customWidth="1"/>
    <col min="1335" max="1335" width="13.85546875" style="134" customWidth="1"/>
    <col min="1336" max="1336" width="20.28515625" style="134" customWidth="1"/>
    <col min="1337" max="1337" width="11.7109375" style="134" customWidth="1"/>
    <col min="1338" max="1338" width="17.42578125" style="134" customWidth="1"/>
    <col min="1339" max="1583" width="8.85546875" style="134"/>
    <col min="1584" max="1584" width="17.28515625" style="134" customWidth="1"/>
    <col min="1585" max="1585" width="12.7109375" style="134" customWidth="1"/>
    <col min="1586" max="1586" width="14.7109375" style="134" customWidth="1"/>
    <col min="1587" max="1587" width="12.42578125" style="134" customWidth="1"/>
    <col min="1588" max="1588" width="12.28515625" style="134" customWidth="1"/>
    <col min="1589" max="1589" width="12.7109375" style="134" customWidth="1"/>
    <col min="1590" max="1590" width="12.42578125" style="134" customWidth="1"/>
    <col min="1591" max="1591" width="13.85546875" style="134" customWidth="1"/>
    <col min="1592" max="1592" width="20.28515625" style="134" customWidth="1"/>
    <col min="1593" max="1593" width="11.7109375" style="134" customWidth="1"/>
    <col min="1594" max="1594" width="17.42578125" style="134" customWidth="1"/>
    <col min="1595" max="1839" width="8.85546875" style="134"/>
    <col min="1840" max="1840" width="17.28515625" style="134" customWidth="1"/>
    <col min="1841" max="1841" width="12.7109375" style="134" customWidth="1"/>
    <col min="1842" max="1842" width="14.7109375" style="134" customWidth="1"/>
    <col min="1843" max="1843" width="12.42578125" style="134" customWidth="1"/>
    <col min="1844" max="1844" width="12.28515625" style="134" customWidth="1"/>
    <col min="1845" max="1845" width="12.7109375" style="134" customWidth="1"/>
    <col min="1846" max="1846" width="12.42578125" style="134" customWidth="1"/>
    <col min="1847" max="1847" width="13.85546875" style="134" customWidth="1"/>
    <col min="1848" max="1848" width="20.28515625" style="134" customWidth="1"/>
    <col min="1849" max="1849" width="11.7109375" style="134" customWidth="1"/>
    <col min="1850" max="1850" width="17.42578125" style="134" customWidth="1"/>
    <col min="1851" max="2095" width="8.85546875" style="134"/>
    <col min="2096" max="2096" width="17.28515625" style="134" customWidth="1"/>
    <col min="2097" max="2097" width="12.7109375" style="134" customWidth="1"/>
    <col min="2098" max="2098" width="14.7109375" style="134" customWidth="1"/>
    <col min="2099" max="2099" width="12.42578125" style="134" customWidth="1"/>
    <col min="2100" max="2100" width="12.28515625" style="134" customWidth="1"/>
    <col min="2101" max="2101" width="12.7109375" style="134" customWidth="1"/>
    <col min="2102" max="2102" width="12.42578125" style="134" customWidth="1"/>
    <col min="2103" max="2103" width="13.85546875" style="134" customWidth="1"/>
    <col min="2104" max="2104" width="20.28515625" style="134" customWidth="1"/>
    <col min="2105" max="2105" width="11.7109375" style="134" customWidth="1"/>
    <col min="2106" max="2106" width="17.42578125" style="134" customWidth="1"/>
    <col min="2107" max="2351" width="8.85546875" style="134"/>
    <col min="2352" max="2352" width="17.28515625" style="134" customWidth="1"/>
    <col min="2353" max="2353" width="12.7109375" style="134" customWidth="1"/>
    <col min="2354" max="2354" width="14.7109375" style="134" customWidth="1"/>
    <col min="2355" max="2355" width="12.42578125" style="134" customWidth="1"/>
    <col min="2356" max="2356" width="12.28515625" style="134" customWidth="1"/>
    <col min="2357" max="2357" width="12.7109375" style="134" customWidth="1"/>
    <col min="2358" max="2358" width="12.42578125" style="134" customWidth="1"/>
    <col min="2359" max="2359" width="13.85546875" style="134" customWidth="1"/>
    <col min="2360" max="2360" width="20.28515625" style="134" customWidth="1"/>
    <col min="2361" max="2361" width="11.7109375" style="134" customWidth="1"/>
    <col min="2362" max="2362" width="17.42578125" style="134" customWidth="1"/>
    <col min="2363" max="2607" width="8.85546875" style="134"/>
    <col min="2608" max="2608" width="17.28515625" style="134" customWidth="1"/>
    <col min="2609" max="2609" width="12.7109375" style="134" customWidth="1"/>
    <col min="2610" max="2610" width="14.7109375" style="134" customWidth="1"/>
    <col min="2611" max="2611" width="12.42578125" style="134" customWidth="1"/>
    <col min="2612" max="2612" width="12.28515625" style="134" customWidth="1"/>
    <col min="2613" max="2613" width="12.7109375" style="134" customWidth="1"/>
    <col min="2614" max="2614" width="12.42578125" style="134" customWidth="1"/>
    <col min="2615" max="2615" width="13.85546875" style="134" customWidth="1"/>
    <col min="2616" max="2616" width="20.28515625" style="134" customWidth="1"/>
    <col min="2617" max="2617" width="11.7109375" style="134" customWidth="1"/>
    <col min="2618" max="2618" width="17.42578125" style="134" customWidth="1"/>
    <col min="2619" max="2863" width="8.85546875" style="134"/>
    <col min="2864" max="2864" width="17.28515625" style="134" customWidth="1"/>
    <col min="2865" max="2865" width="12.7109375" style="134" customWidth="1"/>
    <col min="2866" max="2866" width="14.7109375" style="134" customWidth="1"/>
    <col min="2867" max="2867" width="12.42578125" style="134" customWidth="1"/>
    <col min="2868" max="2868" width="12.28515625" style="134" customWidth="1"/>
    <col min="2869" max="2869" width="12.7109375" style="134" customWidth="1"/>
    <col min="2870" max="2870" width="12.42578125" style="134" customWidth="1"/>
    <col min="2871" max="2871" width="13.85546875" style="134" customWidth="1"/>
    <col min="2872" max="2872" width="20.28515625" style="134" customWidth="1"/>
    <col min="2873" max="2873" width="11.7109375" style="134" customWidth="1"/>
    <col min="2874" max="2874" width="17.42578125" style="134" customWidth="1"/>
    <col min="2875" max="3119" width="8.85546875" style="134"/>
    <col min="3120" max="3120" width="17.28515625" style="134" customWidth="1"/>
    <col min="3121" max="3121" width="12.7109375" style="134" customWidth="1"/>
    <col min="3122" max="3122" width="14.7109375" style="134" customWidth="1"/>
    <col min="3123" max="3123" width="12.42578125" style="134" customWidth="1"/>
    <col min="3124" max="3124" width="12.28515625" style="134" customWidth="1"/>
    <col min="3125" max="3125" width="12.7109375" style="134" customWidth="1"/>
    <col min="3126" max="3126" width="12.42578125" style="134" customWidth="1"/>
    <col min="3127" max="3127" width="13.85546875" style="134" customWidth="1"/>
    <col min="3128" max="3128" width="20.28515625" style="134" customWidth="1"/>
    <col min="3129" max="3129" width="11.7109375" style="134" customWidth="1"/>
    <col min="3130" max="3130" width="17.42578125" style="134" customWidth="1"/>
    <col min="3131" max="3375" width="8.85546875" style="134"/>
    <col min="3376" max="3376" width="17.28515625" style="134" customWidth="1"/>
    <col min="3377" max="3377" width="12.7109375" style="134" customWidth="1"/>
    <col min="3378" max="3378" width="14.7109375" style="134" customWidth="1"/>
    <col min="3379" max="3379" width="12.42578125" style="134" customWidth="1"/>
    <col min="3380" max="3380" width="12.28515625" style="134" customWidth="1"/>
    <col min="3381" max="3381" width="12.7109375" style="134" customWidth="1"/>
    <col min="3382" max="3382" width="12.42578125" style="134" customWidth="1"/>
    <col min="3383" max="3383" width="13.85546875" style="134" customWidth="1"/>
    <col min="3384" max="3384" width="20.28515625" style="134" customWidth="1"/>
    <col min="3385" max="3385" width="11.7109375" style="134" customWidth="1"/>
    <col min="3386" max="3386" width="17.42578125" style="134" customWidth="1"/>
    <col min="3387" max="3631" width="8.85546875" style="134"/>
    <col min="3632" max="3632" width="17.28515625" style="134" customWidth="1"/>
    <col min="3633" max="3633" width="12.7109375" style="134" customWidth="1"/>
    <col min="3634" max="3634" width="14.7109375" style="134" customWidth="1"/>
    <col min="3635" max="3635" width="12.42578125" style="134" customWidth="1"/>
    <col min="3636" max="3636" width="12.28515625" style="134" customWidth="1"/>
    <col min="3637" max="3637" width="12.7109375" style="134" customWidth="1"/>
    <col min="3638" max="3638" width="12.42578125" style="134" customWidth="1"/>
    <col min="3639" max="3639" width="13.85546875" style="134" customWidth="1"/>
    <col min="3640" max="3640" width="20.28515625" style="134" customWidth="1"/>
    <col min="3641" max="3641" width="11.7109375" style="134" customWidth="1"/>
    <col min="3642" max="3642" width="17.42578125" style="134" customWidth="1"/>
    <col min="3643" max="3887" width="8.85546875" style="134"/>
    <col min="3888" max="3888" width="17.28515625" style="134" customWidth="1"/>
    <col min="3889" max="3889" width="12.7109375" style="134" customWidth="1"/>
    <col min="3890" max="3890" width="14.7109375" style="134" customWidth="1"/>
    <col min="3891" max="3891" width="12.42578125" style="134" customWidth="1"/>
    <col min="3892" max="3892" width="12.28515625" style="134" customWidth="1"/>
    <col min="3893" max="3893" width="12.7109375" style="134" customWidth="1"/>
    <col min="3894" max="3894" width="12.42578125" style="134" customWidth="1"/>
    <col min="3895" max="3895" width="13.85546875" style="134" customWidth="1"/>
    <col min="3896" max="3896" width="20.28515625" style="134" customWidth="1"/>
    <col min="3897" max="3897" width="11.7109375" style="134" customWidth="1"/>
    <col min="3898" max="3898" width="17.42578125" style="134" customWidth="1"/>
    <col min="3899" max="4143" width="8.85546875" style="134"/>
    <col min="4144" max="4144" width="17.28515625" style="134" customWidth="1"/>
    <col min="4145" max="4145" width="12.7109375" style="134" customWidth="1"/>
    <col min="4146" max="4146" width="14.7109375" style="134" customWidth="1"/>
    <col min="4147" max="4147" width="12.42578125" style="134" customWidth="1"/>
    <col min="4148" max="4148" width="12.28515625" style="134" customWidth="1"/>
    <col min="4149" max="4149" width="12.7109375" style="134" customWidth="1"/>
    <col min="4150" max="4150" width="12.42578125" style="134" customWidth="1"/>
    <col min="4151" max="4151" width="13.85546875" style="134" customWidth="1"/>
    <col min="4152" max="4152" width="20.28515625" style="134" customWidth="1"/>
    <col min="4153" max="4153" width="11.7109375" style="134" customWidth="1"/>
    <col min="4154" max="4154" width="17.42578125" style="134" customWidth="1"/>
    <col min="4155" max="4399" width="8.85546875" style="134"/>
    <col min="4400" max="4400" width="17.28515625" style="134" customWidth="1"/>
    <col min="4401" max="4401" width="12.7109375" style="134" customWidth="1"/>
    <col min="4402" max="4402" width="14.7109375" style="134" customWidth="1"/>
    <col min="4403" max="4403" width="12.42578125" style="134" customWidth="1"/>
    <col min="4404" max="4404" width="12.28515625" style="134" customWidth="1"/>
    <col min="4405" max="4405" width="12.7109375" style="134" customWidth="1"/>
    <col min="4406" max="4406" width="12.42578125" style="134" customWidth="1"/>
    <col min="4407" max="4407" width="13.85546875" style="134" customWidth="1"/>
    <col min="4408" max="4408" width="20.28515625" style="134" customWidth="1"/>
    <col min="4409" max="4409" width="11.7109375" style="134" customWidth="1"/>
    <col min="4410" max="4410" width="17.42578125" style="134" customWidth="1"/>
    <col min="4411" max="4655" width="8.85546875" style="134"/>
    <col min="4656" max="4656" width="17.28515625" style="134" customWidth="1"/>
    <col min="4657" max="4657" width="12.7109375" style="134" customWidth="1"/>
    <col min="4658" max="4658" width="14.7109375" style="134" customWidth="1"/>
    <col min="4659" max="4659" width="12.42578125" style="134" customWidth="1"/>
    <col min="4660" max="4660" width="12.28515625" style="134" customWidth="1"/>
    <col min="4661" max="4661" width="12.7109375" style="134" customWidth="1"/>
    <col min="4662" max="4662" width="12.42578125" style="134" customWidth="1"/>
    <col min="4663" max="4663" width="13.85546875" style="134" customWidth="1"/>
    <col min="4664" max="4664" width="20.28515625" style="134" customWidth="1"/>
    <col min="4665" max="4665" width="11.7109375" style="134" customWidth="1"/>
    <col min="4666" max="4666" width="17.42578125" style="134" customWidth="1"/>
    <col min="4667" max="4911" width="8.85546875" style="134"/>
    <col min="4912" max="4912" width="17.28515625" style="134" customWidth="1"/>
    <col min="4913" max="4913" width="12.7109375" style="134" customWidth="1"/>
    <col min="4914" max="4914" width="14.7109375" style="134" customWidth="1"/>
    <col min="4915" max="4915" width="12.42578125" style="134" customWidth="1"/>
    <col min="4916" max="4916" width="12.28515625" style="134" customWidth="1"/>
    <col min="4917" max="4917" width="12.7109375" style="134" customWidth="1"/>
    <col min="4918" max="4918" width="12.42578125" style="134" customWidth="1"/>
    <col min="4919" max="4919" width="13.85546875" style="134" customWidth="1"/>
    <col min="4920" max="4920" width="20.28515625" style="134" customWidth="1"/>
    <col min="4921" max="4921" width="11.7109375" style="134" customWidth="1"/>
    <col min="4922" max="4922" width="17.42578125" style="134" customWidth="1"/>
    <col min="4923" max="5167" width="8.85546875" style="134"/>
    <col min="5168" max="5168" width="17.28515625" style="134" customWidth="1"/>
    <col min="5169" max="5169" width="12.7109375" style="134" customWidth="1"/>
    <col min="5170" max="5170" width="14.7109375" style="134" customWidth="1"/>
    <col min="5171" max="5171" width="12.42578125" style="134" customWidth="1"/>
    <col min="5172" max="5172" width="12.28515625" style="134" customWidth="1"/>
    <col min="5173" max="5173" width="12.7109375" style="134" customWidth="1"/>
    <col min="5174" max="5174" width="12.42578125" style="134" customWidth="1"/>
    <col min="5175" max="5175" width="13.85546875" style="134" customWidth="1"/>
    <col min="5176" max="5176" width="20.28515625" style="134" customWidth="1"/>
    <col min="5177" max="5177" width="11.7109375" style="134" customWidth="1"/>
    <col min="5178" max="5178" width="17.42578125" style="134" customWidth="1"/>
    <col min="5179" max="5423" width="8.85546875" style="134"/>
    <col min="5424" max="5424" width="17.28515625" style="134" customWidth="1"/>
    <col min="5425" max="5425" width="12.7109375" style="134" customWidth="1"/>
    <col min="5426" max="5426" width="14.7109375" style="134" customWidth="1"/>
    <col min="5427" max="5427" width="12.42578125" style="134" customWidth="1"/>
    <col min="5428" max="5428" width="12.28515625" style="134" customWidth="1"/>
    <col min="5429" max="5429" width="12.7109375" style="134" customWidth="1"/>
    <col min="5430" max="5430" width="12.42578125" style="134" customWidth="1"/>
    <col min="5431" max="5431" width="13.85546875" style="134" customWidth="1"/>
    <col min="5432" max="5432" width="20.28515625" style="134" customWidth="1"/>
    <col min="5433" max="5433" width="11.7109375" style="134" customWidth="1"/>
    <col min="5434" max="5434" width="17.42578125" style="134" customWidth="1"/>
    <col min="5435" max="5679" width="8.85546875" style="134"/>
    <col min="5680" max="5680" width="17.28515625" style="134" customWidth="1"/>
    <col min="5681" max="5681" width="12.7109375" style="134" customWidth="1"/>
    <col min="5682" max="5682" width="14.7109375" style="134" customWidth="1"/>
    <col min="5683" max="5683" width="12.42578125" style="134" customWidth="1"/>
    <col min="5684" max="5684" width="12.28515625" style="134" customWidth="1"/>
    <col min="5685" max="5685" width="12.7109375" style="134" customWidth="1"/>
    <col min="5686" max="5686" width="12.42578125" style="134" customWidth="1"/>
    <col min="5687" max="5687" width="13.85546875" style="134" customWidth="1"/>
    <col min="5688" max="5688" width="20.28515625" style="134" customWidth="1"/>
    <col min="5689" max="5689" width="11.7109375" style="134" customWidth="1"/>
    <col min="5690" max="5690" width="17.42578125" style="134" customWidth="1"/>
    <col min="5691" max="5935" width="8.85546875" style="134"/>
    <col min="5936" max="5936" width="17.28515625" style="134" customWidth="1"/>
    <col min="5937" max="5937" width="12.7109375" style="134" customWidth="1"/>
    <col min="5938" max="5938" width="14.7109375" style="134" customWidth="1"/>
    <col min="5939" max="5939" width="12.42578125" style="134" customWidth="1"/>
    <col min="5940" max="5940" width="12.28515625" style="134" customWidth="1"/>
    <col min="5941" max="5941" width="12.7109375" style="134" customWidth="1"/>
    <col min="5942" max="5942" width="12.42578125" style="134" customWidth="1"/>
    <col min="5943" max="5943" width="13.85546875" style="134" customWidth="1"/>
    <col min="5944" max="5944" width="20.28515625" style="134" customWidth="1"/>
    <col min="5945" max="5945" width="11.7109375" style="134" customWidth="1"/>
    <col min="5946" max="5946" width="17.42578125" style="134" customWidth="1"/>
    <col min="5947" max="6191" width="8.85546875" style="134"/>
    <col min="6192" max="6192" width="17.28515625" style="134" customWidth="1"/>
    <col min="6193" max="6193" width="12.7109375" style="134" customWidth="1"/>
    <col min="6194" max="6194" width="14.7109375" style="134" customWidth="1"/>
    <col min="6195" max="6195" width="12.42578125" style="134" customWidth="1"/>
    <col min="6196" max="6196" width="12.28515625" style="134" customWidth="1"/>
    <col min="6197" max="6197" width="12.7109375" style="134" customWidth="1"/>
    <col min="6198" max="6198" width="12.42578125" style="134" customWidth="1"/>
    <col min="6199" max="6199" width="13.85546875" style="134" customWidth="1"/>
    <col min="6200" max="6200" width="20.28515625" style="134" customWidth="1"/>
    <col min="6201" max="6201" width="11.7109375" style="134" customWidth="1"/>
    <col min="6202" max="6202" width="17.42578125" style="134" customWidth="1"/>
    <col min="6203" max="6447" width="8.85546875" style="134"/>
    <col min="6448" max="6448" width="17.28515625" style="134" customWidth="1"/>
    <col min="6449" max="6449" width="12.7109375" style="134" customWidth="1"/>
    <col min="6450" max="6450" width="14.7109375" style="134" customWidth="1"/>
    <col min="6451" max="6451" width="12.42578125" style="134" customWidth="1"/>
    <col min="6452" max="6452" width="12.28515625" style="134" customWidth="1"/>
    <col min="6453" max="6453" width="12.7109375" style="134" customWidth="1"/>
    <col min="6454" max="6454" width="12.42578125" style="134" customWidth="1"/>
    <col min="6455" max="6455" width="13.85546875" style="134" customWidth="1"/>
    <col min="6456" max="6456" width="20.28515625" style="134" customWidth="1"/>
    <col min="6457" max="6457" width="11.7109375" style="134" customWidth="1"/>
    <col min="6458" max="6458" width="17.42578125" style="134" customWidth="1"/>
    <col min="6459" max="6703" width="8.85546875" style="134"/>
    <col min="6704" max="6704" width="17.28515625" style="134" customWidth="1"/>
    <col min="6705" max="6705" width="12.7109375" style="134" customWidth="1"/>
    <col min="6706" max="6706" width="14.7109375" style="134" customWidth="1"/>
    <col min="6707" max="6707" width="12.42578125" style="134" customWidth="1"/>
    <col min="6708" max="6708" width="12.28515625" style="134" customWidth="1"/>
    <col min="6709" max="6709" width="12.7109375" style="134" customWidth="1"/>
    <col min="6710" max="6710" width="12.42578125" style="134" customWidth="1"/>
    <col min="6711" max="6711" width="13.85546875" style="134" customWidth="1"/>
    <col min="6712" max="6712" width="20.28515625" style="134" customWidth="1"/>
    <col min="6713" max="6713" width="11.7109375" style="134" customWidth="1"/>
    <col min="6714" max="6714" width="17.42578125" style="134" customWidth="1"/>
    <col min="6715" max="6959" width="8.85546875" style="134"/>
    <col min="6960" max="6960" width="17.28515625" style="134" customWidth="1"/>
    <col min="6961" max="6961" width="12.7109375" style="134" customWidth="1"/>
    <col min="6962" max="6962" width="14.7109375" style="134" customWidth="1"/>
    <col min="6963" max="6963" width="12.42578125" style="134" customWidth="1"/>
    <col min="6964" max="6964" width="12.28515625" style="134" customWidth="1"/>
    <col min="6965" max="6965" width="12.7109375" style="134" customWidth="1"/>
    <col min="6966" max="6966" width="12.42578125" style="134" customWidth="1"/>
    <col min="6967" max="6967" width="13.85546875" style="134" customWidth="1"/>
    <col min="6968" max="6968" width="20.28515625" style="134" customWidth="1"/>
    <col min="6969" max="6969" width="11.7109375" style="134" customWidth="1"/>
    <col min="6970" max="6970" width="17.42578125" style="134" customWidth="1"/>
    <col min="6971" max="7215" width="8.85546875" style="134"/>
    <col min="7216" max="7216" width="17.28515625" style="134" customWidth="1"/>
    <col min="7217" max="7217" width="12.7109375" style="134" customWidth="1"/>
    <col min="7218" max="7218" width="14.7109375" style="134" customWidth="1"/>
    <col min="7219" max="7219" width="12.42578125" style="134" customWidth="1"/>
    <col min="7220" max="7220" width="12.28515625" style="134" customWidth="1"/>
    <col min="7221" max="7221" width="12.7109375" style="134" customWidth="1"/>
    <col min="7222" max="7222" width="12.42578125" style="134" customWidth="1"/>
    <col min="7223" max="7223" width="13.85546875" style="134" customWidth="1"/>
    <col min="7224" max="7224" width="20.28515625" style="134" customWidth="1"/>
    <col min="7225" max="7225" width="11.7109375" style="134" customWidth="1"/>
    <col min="7226" max="7226" width="17.42578125" style="134" customWidth="1"/>
    <col min="7227" max="7471" width="8.85546875" style="134"/>
    <col min="7472" max="7472" width="17.28515625" style="134" customWidth="1"/>
    <col min="7473" max="7473" width="12.7109375" style="134" customWidth="1"/>
    <col min="7474" max="7474" width="14.7109375" style="134" customWidth="1"/>
    <col min="7475" max="7475" width="12.42578125" style="134" customWidth="1"/>
    <col min="7476" max="7476" width="12.28515625" style="134" customWidth="1"/>
    <col min="7477" max="7477" width="12.7109375" style="134" customWidth="1"/>
    <col min="7478" max="7478" width="12.42578125" style="134" customWidth="1"/>
    <col min="7479" max="7479" width="13.85546875" style="134" customWidth="1"/>
    <col min="7480" max="7480" width="20.28515625" style="134" customWidth="1"/>
    <col min="7481" max="7481" width="11.7109375" style="134" customWidth="1"/>
    <col min="7482" max="7482" width="17.42578125" style="134" customWidth="1"/>
    <col min="7483" max="7727" width="8.85546875" style="134"/>
    <col min="7728" max="7728" width="17.28515625" style="134" customWidth="1"/>
    <col min="7729" max="7729" width="12.7109375" style="134" customWidth="1"/>
    <col min="7730" max="7730" width="14.7109375" style="134" customWidth="1"/>
    <col min="7731" max="7731" width="12.42578125" style="134" customWidth="1"/>
    <col min="7732" max="7732" width="12.28515625" style="134" customWidth="1"/>
    <col min="7733" max="7733" width="12.7109375" style="134" customWidth="1"/>
    <col min="7734" max="7734" width="12.42578125" style="134" customWidth="1"/>
    <col min="7735" max="7735" width="13.85546875" style="134" customWidth="1"/>
    <col min="7736" max="7736" width="20.28515625" style="134" customWidth="1"/>
    <col min="7737" max="7737" width="11.7109375" style="134" customWidth="1"/>
    <col min="7738" max="7738" width="17.42578125" style="134" customWidth="1"/>
    <col min="7739" max="7983" width="8.85546875" style="134"/>
    <col min="7984" max="7984" width="17.28515625" style="134" customWidth="1"/>
    <col min="7985" max="7985" width="12.7109375" style="134" customWidth="1"/>
    <col min="7986" max="7986" width="14.7109375" style="134" customWidth="1"/>
    <col min="7987" max="7987" width="12.42578125" style="134" customWidth="1"/>
    <col min="7988" max="7988" width="12.28515625" style="134" customWidth="1"/>
    <col min="7989" max="7989" width="12.7109375" style="134" customWidth="1"/>
    <col min="7990" max="7990" width="12.42578125" style="134" customWidth="1"/>
    <col min="7991" max="7991" width="13.85546875" style="134" customWidth="1"/>
    <col min="7992" max="7992" width="20.28515625" style="134" customWidth="1"/>
    <col min="7993" max="7993" width="11.7109375" style="134" customWidth="1"/>
    <col min="7994" max="7994" width="17.42578125" style="134" customWidth="1"/>
    <col min="7995" max="8239" width="8.85546875" style="134"/>
    <col min="8240" max="8240" width="17.28515625" style="134" customWidth="1"/>
    <col min="8241" max="8241" width="12.7109375" style="134" customWidth="1"/>
    <col min="8242" max="8242" width="14.7109375" style="134" customWidth="1"/>
    <col min="8243" max="8243" width="12.42578125" style="134" customWidth="1"/>
    <col min="8244" max="8244" width="12.28515625" style="134" customWidth="1"/>
    <col min="8245" max="8245" width="12.7109375" style="134" customWidth="1"/>
    <col min="8246" max="8246" width="12.42578125" style="134" customWidth="1"/>
    <col min="8247" max="8247" width="13.85546875" style="134" customWidth="1"/>
    <col min="8248" max="8248" width="20.28515625" style="134" customWidth="1"/>
    <col min="8249" max="8249" width="11.7109375" style="134" customWidth="1"/>
    <col min="8250" max="8250" width="17.42578125" style="134" customWidth="1"/>
    <col min="8251" max="8495" width="8.85546875" style="134"/>
    <col min="8496" max="8496" width="17.28515625" style="134" customWidth="1"/>
    <col min="8497" max="8497" width="12.7109375" style="134" customWidth="1"/>
    <col min="8498" max="8498" width="14.7109375" style="134" customWidth="1"/>
    <col min="8499" max="8499" width="12.42578125" style="134" customWidth="1"/>
    <col min="8500" max="8500" width="12.28515625" style="134" customWidth="1"/>
    <col min="8501" max="8501" width="12.7109375" style="134" customWidth="1"/>
    <col min="8502" max="8502" width="12.42578125" style="134" customWidth="1"/>
    <col min="8503" max="8503" width="13.85546875" style="134" customWidth="1"/>
    <col min="8504" max="8504" width="20.28515625" style="134" customWidth="1"/>
    <col min="8505" max="8505" width="11.7109375" style="134" customWidth="1"/>
    <col min="8506" max="8506" width="17.42578125" style="134" customWidth="1"/>
    <col min="8507" max="8751" width="8.85546875" style="134"/>
    <col min="8752" max="8752" width="17.28515625" style="134" customWidth="1"/>
    <col min="8753" max="8753" width="12.7109375" style="134" customWidth="1"/>
    <col min="8754" max="8754" width="14.7109375" style="134" customWidth="1"/>
    <col min="8755" max="8755" width="12.42578125" style="134" customWidth="1"/>
    <col min="8756" max="8756" width="12.28515625" style="134" customWidth="1"/>
    <col min="8757" max="8757" width="12.7109375" style="134" customWidth="1"/>
    <col min="8758" max="8758" width="12.42578125" style="134" customWidth="1"/>
    <col min="8759" max="8759" width="13.85546875" style="134" customWidth="1"/>
    <col min="8760" max="8760" width="20.28515625" style="134" customWidth="1"/>
    <col min="8761" max="8761" width="11.7109375" style="134" customWidth="1"/>
    <col min="8762" max="8762" width="17.42578125" style="134" customWidth="1"/>
    <col min="8763" max="9007" width="8.85546875" style="134"/>
    <col min="9008" max="9008" width="17.28515625" style="134" customWidth="1"/>
    <col min="9009" max="9009" width="12.7109375" style="134" customWidth="1"/>
    <col min="9010" max="9010" width="14.7109375" style="134" customWidth="1"/>
    <col min="9011" max="9011" width="12.42578125" style="134" customWidth="1"/>
    <col min="9012" max="9012" width="12.28515625" style="134" customWidth="1"/>
    <col min="9013" max="9013" width="12.7109375" style="134" customWidth="1"/>
    <col min="9014" max="9014" width="12.42578125" style="134" customWidth="1"/>
    <col min="9015" max="9015" width="13.85546875" style="134" customWidth="1"/>
    <col min="9016" max="9016" width="20.28515625" style="134" customWidth="1"/>
    <col min="9017" max="9017" width="11.7109375" style="134" customWidth="1"/>
    <col min="9018" max="9018" width="17.42578125" style="134" customWidth="1"/>
    <col min="9019" max="9263" width="8.85546875" style="134"/>
    <col min="9264" max="9264" width="17.28515625" style="134" customWidth="1"/>
    <col min="9265" max="9265" width="12.7109375" style="134" customWidth="1"/>
    <col min="9266" max="9266" width="14.7109375" style="134" customWidth="1"/>
    <col min="9267" max="9267" width="12.42578125" style="134" customWidth="1"/>
    <col min="9268" max="9268" width="12.28515625" style="134" customWidth="1"/>
    <col min="9269" max="9269" width="12.7109375" style="134" customWidth="1"/>
    <col min="9270" max="9270" width="12.42578125" style="134" customWidth="1"/>
    <col min="9271" max="9271" width="13.85546875" style="134" customWidth="1"/>
    <col min="9272" max="9272" width="20.28515625" style="134" customWidth="1"/>
    <col min="9273" max="9273" width="11.7109375" style="134" customWidth="1"/>
    <col min="9274" max="9274" width="17.42578125" style="134" customWidth="1"/>
    <col min="9275" max="9519" width="8.85546875" style="134"/>
    <col min="9520" max="9520" width="17.28515625" style="134" customWidth="1"/>
    <col min="9521" max="9521" width="12.7109375" style="134" customWidth="1"/>
    <col min="9522" max="9522" width="14.7109375" style="134" customWidth="1"/>
    <col min="9523" max="9523" width="12.42578125" style="134" customWidth="1"/>
    <col min="9524" max="9524" width="12.28515625" style="134" customWidth="1"/>
    <col min="9525" max="9525" width="12.7109375" style="134" customWidth="1"/>
    <col min="9526" max="9526" width="12.42578125" style="134" customWidth="1"/>
    <col min="9527" max="9527" width="13.85546875" style="134" customWidth="1"/>
    <col min="9528" max="9528" width="20.28515625" style="134" customWidth="1"/>
    <col min="9529" max="9529" width="11.7109375" style="134" customWidth="1"/>
    <col min="9530" max="9530" width="17.42578125" style="134" customWidth="1"/>
    <col min="9531" max="9775" width="8.85546875" style="134"/>
    <col min="9776" max="9776" width="17.28515625" style="134" customWidth="1"/>
    <col min="9777" max="9777" width="12.7109375" style="134" customWidth="1"/>
    <col min="9778" max="9778" width="14.7109375" style="134" customWidth="1"/>
    <col min="9779" max="9779" width="12.42578125" style="134" customWidth="1"/>
    <col min="9780" max="9780" width="12.28515625" style="134" customWidth="1"/>
    <col min="9781" max="9781" width="12.7109375" style="134" customWidth="1"/>
    <col min="9782" max="9782" width="12.42578125" style="134" customWidth="1"/>
    <col min="9783" max="9783" width="13.85546875" style="134" customWidth="1"/>
    <col min="9784" max="9784" width="20.28515625" style="134" customWidth="1"/>
    <col min="9785" max="9785" width="11.7109375" style="134" customWidth="1"/>
    <col min="9786" max="9786" width="17.42578125" style="134" customWidth="1"/>
    <col min="9787" max="10031" width="8.85546875" style="134"/>
    <col min="10032" max="10032" width="17.28515625" style="134" customWidth="1"/>
    <col min="10033" max="10033" width="12.7109375" style="134" customWidth="1"/>
    <col min="10034" max="10034" width="14.7109375" style="134" customWidth="1"/>
    <col min="10035" max="10035" width="12.42578125" style="134" customWidth="1"/>
    <col min="10036" max="10036" width="12.28515625" style="134" customWidth="1"/>
    <col min="10037" max="10037" width="12.7109375" style="134" customWidth="1"/>
    <col min="10038" max="10038" width="12.42578125" style="134" customWidth="1"/>
    <col min="10039" max="10039" width="13.85546875" style="134" customWidth="1"/>
    <col min="10040" max="10040" width="20.28515625" style="134" customWidth="1"/>
    <col min="10041" max="10041" width="11.7109375" style="134" customWidth="1"/>
    <col min="10042" max="10042" width="17.42578125" style="134" customWidth="1"/>
    <col min="10043" max="10287" width="8.85546875" style="134"/>
    <col min="10288" max="10288" width="17.28515625" style="134" customWidth="1"/>
    <col min="10289" max="10289" width="12.7109375" style="134" customWidth="1"/>
    <col min="10290" max="10290" width="14.7109375" style="134" customWidth="1"/>
    <col min="10291" max="10291" width="12.42578125" style="134" customWidth="1"/>
    <col min="10292" max="10292" width="12.28515625" style="134" customWidth="1"/>
    <col min="10293" max="10293" width="12.7109375" style="134" customWidth="1"/>
    <col min="10294" max="10294" width="12.42578125" style="134" customWidth="1"/>
    <col min="10295" max="10295" width="13.85546875" style="134" customWidth="1"/>
    <col min="10296" max="10296" width="20.28515625" style="134" customWidth="1"/>
    <col min="10297" max="10297" width="11.7109375" style="134" customWidth="1"/>
    <col min="10298" max="10298" width="17.42578125" style="134" customWidth="1"/>
    <col min="10299" max="10543" width="8.85546875" style="134"/>
    <col min="10544" max="10544" width="17.28515625" style="134" customWidth="1"/>
    <col min="10545" max="10545" width="12.7109375" style="134" customWidth="1"/>
    <col min="10546" max="10546" width="14.7109375" style="134" customWidth="1"/>
    <col min="10547" max="10547" width="12.42578125" style="134" customWidth="1"/>
    <col min="10548" max="10548" width="12.28515625" style="134" customWidth="1"/>
    <col min="10549" max="10549" width="12.7109375" style="134" customWidth="1"/>
    <col min="10550" max="10550" width="12.42578125" style="134" customWidth="1"/>
    <col min="10551" max="10551" width="13.85546875" style="134" customWidth="1"/>
    <col min="10552" max="10552" width="20.28515625" style="134" customWidth="1"/>
    <col min="10553" max="10553" width="11.7109375" style="134" customWidth="1"/>
    <col min="10554" max="10554" width="17.42578125" style="134" customWidth="1"/>
    <col min="10555" max="10799" width="8.85546875" style="134"/>
    <col min="10800" max="10800" width="17.28515625" style="134" customWidth="1"/>
    <col min="10801" max="10801" width="12.7109375" style="134" customWidth="1"/>
    <col min="10802" max="10802" width="14.7109375" style="134" customWidth="1"/>
    <col min="10803" max="10803" width="12.42578125" style="134" customWidth="1"/>
    <col min="10804" max="10804" width="12.28515625" style="134" customWidth="1"/>
    <col min="10805" max="10805" width="12.7109375" style="134" customWidth="1"/>
    <col min="10806" max="10806" width="12.42578125" style="134" customWidth="1"/>
    <col min="10807" max="10807" width="13.85546875" style="134" customWidth="1"/>
    <col min="10808" max="10808" width="20.28515625" style="134" customWidth="1"/>
    <col min="10809" max="10809" width="11.7109375" style="134" customWidth="1"/>
    <col min="10810" max="10810" width="17.42578125" style="134" customWidth="1"/>
    <col min="10811" max="11055" width="8.85546875" style="134"/>
    <col min="11056" max="11056" width="17.28515625" style="134" customWidth="1"/>
    <col min="11057" max="11057" width="12.7109375" style="134" customWidth="1"/>
    <col min="11058" max="11058" width="14.7109375" style="134" customWidth="1"/>
    <col min="11059" max="11059" width="12.42578125" style="134" customWidth="1"/>
    <col min="11060" max="11060" width="12.28515625" style="134" customWidth="1"/>
    <col min="11061" max="11061" width="12.7109375" style="134" customWidth="1"/>
    <col min="11062" max="11062" width="12.42578125" style="134" customWidth="1"/>
    <col min="11063" max="11063" width="13.85546875" style="134" customWidth="1"/>
    <col min="11064" max="11064" width="20.28515625" style="134" customWidth="1"/>
    <col min="11065" max="11065" width="11.7109375" style="134" customWidth="1"/>
    <col min="11066" max="11066" width="17.42578125" style="134" customWidth="1"/>
    <col min="11067" max="11311" width="8.85546875" style="134"/>
    <col min="11312" max="11312" width="17.28515625" style="134" customWidth="1"/>
    <col min="11313" max="11313" width="12.7109375" style="134" customWidth="1"/>
    <col min="11314" max="11314" width="14.7109375" style="134" customWidth="1"/>
    <col min="11315" max="11315" width="12.42578125" style="134" customWidth="1"/>
    <col min="11316" max="11316" width="12.28515625" style="134" customWidth="1"/>
    <col min="11317" max="11317" width="12.7109375" style="134" customWidth="1"/>
    <col min="11318" max="11318" width="12.42578125" style="134" customWidth="1"/>
    <col min="11319" max="11319" width="13.85546875" style="134" customWidth="1"/>
    <col min="11320" max="11320" width="20.28515625" style="134" customWidth="1"/>
    <col min="11321" max="11321" width="11.7109375" style="134" customWidth="1"/>
    <col min="11322" max="11322" width="17.42578125" style="134" customWidth="1"/>
    <col min="11323" max="11567" width="8.85546875" style="134"/>
    <col min="11568" max="11568" width="17.28515625" style="134" customWidth="1"/>
    <col min="11569" max="11569" width="12.7109375" style="134" customWidth="1"/>
    <col min="11570" max="11570" width="14.7109375" style="134" customWidth="1"/>
    <col min="11571" max="11571" width="12.42578125" style="134" customWidth="1"/>
    <col min="11572" max="11572" width="12.28515625" style="134" customWidth="1"/>
    <col min="11573" max="11573" width="12.7109375" style="134" customWidth="1"/>
    <col min="11574" max="11574" width="12.42578125" style="134" customWidth="1"/>
    <col min="11575" max="11575" width="13.85546875" style="134" customWidth="1"/>
    <col min="11576" max="11576" width="20.28515625" style="134" customWidth="1"/>
    <col min="11577" max="11577" width="11.7109375" style="134" customWidth="1"/>
    <col min="11578" max="11578" width="17.42578125" style="134" customWidth="1"/>
    <col min="11579" max="11823" width="8.85546875" style="134"/>
    <col min="11824" max="11824" width="17.28515625" style="134" customWidth="1"/>
    <col min="11825" max="11825" width="12.7109375" style="134" customWidth="1"/>
    <col min="11826" max="11826" width="14.7109375" style="134" customWidth="1"/>
    <col min="11827" max="11827" width="12.42578125" style="134" customWidth="1"/>
    <col min="11828" max="11828" width="12.28515625" style="134" customWidth="1"/>
    <col min="11829" max="11829" width="12.7109375" style="134" customWidth="1"/>
    <col min="11830" max="11830" width="12.42578125" style="134" customWidth="1"/>
    <col min="11831" max="11831" width="13.85546875" style="134" customWidth="1"/>
    <col min="11832" max="11832" width="20.28515625" style="134" customWidth="1"/>
    <col min="11833" max="11833" width="11.7109375" style="134" customWidth="1"/>
    <col min="11834" max="11834" width="17.42578125" style="134" customWidth="1"/>
    <col min="11835" max="12079" width="8.85546875" style="134"/>
    <col min="12080" max="12080" width="17.28515625" style="134" customWidth="1"/>
    <col min="12081" max="12081" width="12.7109375" style="134" customWidth="1"/>
    <col min="12082" max="12082" width="14.7109375" style="134" customWidth="1"/>
    <col min="12083" max="12083" width="12.42578125" style="134" customWidth="1"/>
    <col min="12084" max="12084" width="12.28515625" style="134" customWidth="1"/>
    <col min="12085" max="12085" width="12.7109375" style="134" customWidth="1"/>
    <col min="12086" max="12086" width="12.42578125" style="134" customWidth="1"/>
    <col min="12087" max="12087" width="13.85546875" style="134" customWidth="1"/>
    <col min="12088" max="12088" width="20.28515625" style="134" customWidth="1"/>
    <col min="12089" max="12089" width="11.7109375" style="134" customWidth="1"/>
    <col min="12090" max="12090" width="17.42578125" style="134" customWidth="1"/>
    <col min="12091" max="12335" width="8.85546875" style="134"/>
    <col min="12336" max="12336" width="17.28515625" style="134" customWidth="1"/>
    <col min="12337" max="12337" width="12.7109375" style="134" customWidth="1"/>
    <col min="12338" max="12338" width="14.7109375" style="134" customWidth="1"/>
    <col min="12339" max="12339" width="12.42578125" style="134" customWidth="1"/>
    <col min="12340" max="12340" width="12.28515625" style="134" customWidth="1"/>
    <col min="12341" max="12341" width="12.7109375" style="134" customWidth="1"/>
    <col min="12342" max="12342" width="12.42578125" style="134" customWidth="1"/>
    <col min="12343" max="12343" width="13.85546875" style="134" customWidth="1"/>
    <col min="12344" max="12344" width="20.28515625" style="134" customWidth="1"/>
    <col min="12345" max="12345" width="11.7109375" style="134" customWidth="1"/>
    <col min="12346" max="12346" width="17.42578125" style="134" customWidth="1"/>
    <col min="12347" max="12591" width="8.85546875" style="134"/>
    <col min="12592" max="12592" width="17.28515625" style="134" customWidth="1"/>
    <col min="12593" max="12593" width="12.7109375" style="134" customWidth="1"/>
    <col min="12594" max="12594" width="14.7109375" style="134" customWidth="1"/>
    <col min="12595" max="12595" width="12.42578125" style="134" customWidth="1"/>
    <col min="12596" max="12596" width="12.28515625" style="134" customWidth="1"/>
    <col min="12597" max="12597" width="12.7109375" style="134" customWidth="1"/>
    <col min="12598" max="12598" width="12.42578125" style="134" customWidth="1"/>
    <col min="12599" max="12599" width="13.85546875" style="134" customWidth="1"/>
    <col min="12600" max="12600" width="20.28515625" style="134" customWidth="1"/>
    <col min="12601" max="12601" width="11.7109375" style="134" customWidth="1"/>
    <col min="12602" max="12602" width="17.42578125" style="134" customWidth="1"/>
    <col min="12603" max="12847" width="8.85546875" style="134"/>
    <col min="12848" max="12848" width="17.28515625" style="134" customWidth="1"/>
    <col min="12849" max="12849" width="12.7109375" style="134" customWidth="1"/>
    <col min="12850" max="12850" width="14.7109375" style="134" customWidth="1"/>
    <col min="12851" max="12851" width="12.42578125" style="134" customWidth="1"/>
    <col min="12852" max="12852" width="12.28515625" style="134" customWidth="1"/>
    <col min="12853" max="12853" width="12.7109375" style="134" customWidth="1"/>
    <col min="12854" max="12854" width="12.42578125" style="134" customWidth="1"/>
    <col min="12855" max="12855" width="13.85546875" style="134" customWidth="1"/>
    <col min="12856" max="12856" width="20.28515625" style="134" customWidth="1"/>
    <col min="12857" max="12857" width="11.7109375" style="134" customWidth="1"/>
    <col min="12858" max="12858" width="17.42578125" style="134" customWidth="1"/>
    <col min="12859" max="13103" width="8.85546875" style="134"/>
    <col min="13104" max="13104" width="17.28515625" style="134" customWidth="1"/>
    <col min="13105" max="13105" width="12.7109375" style="134" customWidth="1"/>
    <col min="13106" max="13106" width="14.7109375" style="134" customWidth="1"/>
    <col min="13107" max="13107" width="12.42578125" style="134" customWidth="1"/>
    <col min="13108" max="13108" width="12.28515625" style="134" customWidth="1"/>
    <col min="13109" max="13109" width="12.7109375" style="134" customWidth="1"/>
    <col min="13110" max="13110" width="12.42578125" style="134" customWidth="1"/>
    <col min="13111" max="13111" width="13.85546875" style="134" customWidth="1"/>
    <col min="13112" max="13112" width="20.28515625" style="134" customWidth="1"/>
    <col min="13113" max="13113" width="11.7109375" style="134" customWidth="1"/>
    <col min="13114" max="13114" width="17.42578125" style="134" customWidth="1"/>
    <col min="13115" max="13359" width="8.85546875" style="134"/>
    <col min="13360" max="13360" width="17.28515625" style="134" customWidth="1"/>
    <col min="13361" max="13361" width="12.7109375" style="134" customWidth="1"/>
    <col min="13362" max="13362" width="14.7109375" style="134" customWidth="1"/>
    <col min="13363" max="13363" width="12.42578125" style="134" customWidth="1"/>
    <col min="13364" max="13364" width="12.28515625" style="134" customWidth="1"/>
    <col min="13365" max="13365" width="12.7109375" style="134" customWidth="1"/>
    <col min="13366" max="13366" width="12.42578125" style="134" customWidth="1"/>
    <col min="13367" max="13367" width="13.85546875" style="134" customWidth="1"/>
    <col min="13368" max="13368" width="20.28515625" style="134" customWidth="1"/>
    <col min="13369" max="13369" width="11.7109375" style="134" customWidth="1"/>
    <col min="13370" max="13370" width="17.42578125" style="134" customWidth="1"/>
    <col min="13371" max="13615" width="8.85546875" style="134"/>
    <col min="13616" max="13616" width="17.28515625" style="134" customWidth="1"/>
    <col min="13617" max="13617" width="12.7109375" style="134" customWidth="1"/>
    <col min="13618" max="13618" width="14.7109375" style="134" customWidth="1"/>
    <col min="13619" max="13619" width="12.42578125" style="134" customWidth="1"/>
    <col min="13620" max="13620" width="12.28515625" style="134" customWidth="1"/>
    <col min="13621" max="13621" width="12.7109375" style="134" customWidth="1"/>
    <col min="13622" max="13622" width="12.42578125" style="134" customWidth="1"/>
    <col min="13623" max="13623" width="13.85546875" style="134" customWidth="1"/>
    <col min="13624" max="13624" width="20.28515625" style="134" customWidth="1"/>
    <col min="13625" max="13625" width="11.7109375" style="134" customWidth="1"/>
    <col min="13626" max="13626" width="17.42578125" style="134" customWidth="1"/>
    <col min="13627" max="13871" width="8.85546875" style="134"/>
    <col min="13872" max="13872" width="17.28515625" style="134" customWidth="1"/>
    <col min="13873" max="13873" width="12.7109375" style="134" customWidth="1"/>
    <col min="13874" max="13874" width="14.7109375" style="134" customWidth="1"/>
    <col min="13875" max="13875" width="12.42578125" style="134" customWidth="1"/>
    <col min="13876" max="13876" width="12.28515625" style="134" customWidth="1"/>
    <col min="13877" max="13877" width="12.7109375" style="134" customWidth="1"/>
    <col min="13878" max="13878" width="12.42578125" style="134" customWidth="1"/>
    <col min="13879" max="13879" width="13.85546875" style="134" customWidth="1"/>
    <col min="13880" max="13880" width="20.28515625" style="134" customWidth="1"/>
    <col min="13881" max="13881" width="11.7109375" style="134" customWidth="1"/>
    <col min="13882" max="13882" width="17.42578125" style="134" customWidth="1"/>
    <col min="13883" max="14127" width="8.85546875" style="134"/>
    <col min="14128" max="14128" width="17.28515625" style="134" customWidth="1"/>
    <col min="14129" max="14129" width="12.7109375" style="134" customWidth="1"/>
    <col min="14130" max="14130" width="14.7109375" style="134" customWidth="1"/>
    <col min="14131" max="14131" width="12.42578125" style="134" customWidth="1"/>
    <col min="14132" max="14132" width="12.28515625" style="134" customWidth="1"/>
    <col min="14133" max="14133" width="12.7109375" style="134" customWidth="1"/>
    <col min="14134" max="14134" width="12.42578125" style="134" customWidth="1"/>
    <col min="14135" max="14135" width="13.85546875" style="134" customWidth="1"/>
    <col min="14136" max="14136" width="20.28515625" style="134" customWidth="1"/>
    <col min="14137" max="14137" width="11.7109375" style="134" customWidth="1"/>
    <col min="14138" max="14138" width="17.42578125" style="134" customWidth="1"/>
    <col min="14139" max="14383" width="8.85546875" style="134"/>
    <col min="14384" max="14384" width="17.28515625" style="134" customWidth="1"/>
    <col min="14385" max="14385" width="12.7109375" style="134" customWidth="1"/>
    <col min="14386" max="14386" width="14.7109375" style="134" customWidth="1"/>
    <col min="14387" max="14387" width="12.42578125" style="134" customWidth="1"/>
    <col min="14388" max="14388" width="12.28515625" style="134" customWidth="1"/>
    <col min="14389" max="14389" width="12.7109375" style="134" customWidth="1"/>
    <col min="14390" max="14390" width="12.42578125" style="134" customWidth="1"/>
    <col min="14391" max="14391" width="13.85546875" style="134" customWidth="1"/>
    <col min="14392" max="14392" width="20.28515625" style="134" customWidth="1"/>
    <col min="14393" max="14393" width="11.7109375" style="134" customWidth="1"/>
    <col min="14394" max="14394" width="17.42578125" style="134" customWidth="1"/>
    <col min="14395" max="14639" width="8.85546875" style="134"/>
    <col min="14640" max="14640" width="17.28515625" style="134" customWidth="1"/>
    <col min="14641" max="14641" width="12.7109375" style="134" customWidth="1"/>
    <col min="14642" max="14642" width="14.7109375" style="134" customWidth="1"/>
    <col min="14643" max="14643" width="12.42578125" style="134" customWidth="1"/>
    <col min="14644" max="14644" width="12.28515625" style="134" customWidth="1"/>
    <col min="14645" max="14645" width="12.7109375" style="134" customWidth="1"/>
    <col min="14646" max="14646" width="12.42578125" style="134" customWidth="1"/>
    <col min="14647" max="14647" width="13.85546875" style="134" customWidth="1"/>
    <col min="14648" max="14648" width="20.28515625" style="134" customWidth="1"/>
    <col min="14649" max="14649" width="11.7109375" style="134" customWidth="1"/>
    <col min="14650" max="14650" width="17.42578125" style="134" customWidth="1"/>
    <col min="14651" max="14895" width="8.85546875" style="134"/>
    <col min="14896" max="14896" width="17.28515625" style="134" customWidth="1"/>
    <col min="14897" max="14897" width="12.7109375" style="134" customWidth="1"/>
    <col min="14898" max="14898" width="14.7109375" style="134" customWidth="1"/>
    <col min="14899" max="14899" width="12.42578125" style="134" customWidth="1"/>
    <col min="14900" max="14900" width="12.28515625" style="134" customWidth="1"/>
    <col min="14901" max="14901" width="12.7109375" style="134" customWidth="1"/>
    <col min="14902" max="14902" width="12.42578125" style="134" customWidth="1"/>
    <col min="14903" max="14903" width="13.85546875" style="134" customWidth="1"/>
    <col min="14904" max="14904" width="20.28515625" style="134" customWidth="1"/>
    <col min="14905" max="14905" width="11.7109375" style="134" customWidth="1"/>
    <col min="14906" max="14906" width="17.42578125" style="134" customWidth="1"/>
    <col min="14907" max="15151" width="8.85546875" style="134"/>
    <col min="15152" max="15152" width="17.28515625" style="134" customWidth="1"/>
    <col min="15153" max="15153" width="12.7109375" style="134" customWidth="1"/>
    <col min="15154" max="15154" width="14.7109375" style="134" customWidth="1"/>
    <col min="15155" max="15155" width="12.42578125" style="134" customWidth="1"/>
    <col min="15156" max="15156" width="12.28515625" style="134" customWidth="1"/>
    <col min="15157" max="15157" width="12.7109375" style="134" customWidth="1"/>
    <col min="15158" max="15158" width="12.42578125" style="134" customWidth="1"/>
    <col min="15159" max="15159" width="13.85546875" style="134" customWidth="1"/>
    <col min="15160" max="15160" width="20.28515625" style="134" customWidth="1"/>
    <col min="15161" max="15161" width="11.7109375" style="134" customWidth="1"/>
    <col min="15162" max="15162" width="17.42578125" style="134" customWidth="1"/>
    <col min="15163" max="15407" width="8.85546875" style="134"/>
    <col min="15408" max="15408" width="17.28515625" style="134" customWidth="1"/>
    <col min="15409" max="15409" width="12.7109375" style="134" customWidth="1"/>
    <col min="15410" max="15410" width="14.7109375" style="134" customWidth="1"/>
    <col min="15411" max="15411" width="12.42578125" style="134" customWidth="1"/>
    <col min="15412" max="15412" width="12.28515625" style="134" customWidth="1"/>
    <col min="15413" max="15413" width="12.7109375" style="134" customWidth="1"/>
    <col min="15414" max="15414" width="12.42578125" style="134" customWidth="1"/>
    <col min="15415" max="15415" width="13.85546875" style="134" customWidth="1"/>
    <col min="15416" max="15416" width="20.28515625" style="134" customWidth="1"/>
    <col min="15417" max="15417" width="11.7109375" style="134" customWidth="1"/>
    <col min="15418" max="15418" width="17.42578125" style="134" customWidth="1"/>
    <col min="15419" max="15663" width="8.85546875" style="134"/>
    <col min="15664" max="15664" width="17.28515625" style="134" customWidth="1"/>
    <col min="15665" max="15665" width="12.7109375" style="134" customWidth="1"/>
    <col min="15666" max="15666" width="14.7109375" style="134" customWidth="1"/>
    <col min="15667" max="15667" width="12.42578125" style="134" customWidth="1"/>
    <col min="15668" max="15668" width="12.28515625" style="134" customWidth="1"/>
    <col min="15669" max="15669" width="12.7109375" style="134" customWidth="1"/>
    <col min="15670" max="15670" width="12.42578125" style="134" customWidth="1"/>
    <col min="15671" max="15671" width="13.85546875" style="134" customWidth="1"/>
    <col min="15672" max="15672" width="20.28515625" style="134" customWidth="1"/>
    <col min="15673" max="15673" width="11.7109375" style="134" customWidth="1"/>
    <col min="15674" max="15674" width="17.42578125" style="134" customWidth="1"/>
    <col min="15675" max="15919" width="8.85546875" style="134"/>
    <col min="15920" max="15920" width="17.28515625" style="134" customWidth="1"/>
    <col min="15921" max="15921" width="12.7109375" style="134" customWidth="1"/>
    <col min="15922" max="15922" width="14.7109375" style="134" customWidth="1"/>
    <col min="15923" max="15923" width="12.42578125" style="134" customWidth="1"/>
    <col min="15924" max="15924" width="12.28515625" style="134" customWidth="1"/>
    <col min="15925" max="15925" width="12.7109375" style="134" customWidth="1"/>
    <col min="15926" max="15926" width="12.42578125" style="134" customWidth="1"/>
    <col min="15927" max="15927" width="13.85546875" style="134" customWidth="1"/>
    <col min="15928" max="15928" width="20.28515625" style="134" customWidth="1"/>
    <col min="15929" max="15929" width="11.7109375" style="134" customWidth="1"/>
    <col min="15930" max="15930" width="17.42578125" style="134" customWidth="1"/>
    <col min="15931" max="16175" width="8.85546875" style="134"/>
    <col min="16176" max="16176" width="17.28515625" style="134" customWidth="1"/>
    <col min="16177" max="16177" width="12.7109375" style="134" customWidth="1"/>
    <col min="16178" max="16178" width="14.7109375" style="134" customWidth="1"/>
    <col min="16179" max="16179" width="12.42578125" style="134" customWidth="1"/>
    <col min="16180" max="16180" width="12.28515625" style="134" customWidth="1"/>
    <col min="16181" max="16181" width="12.7109375" style="134" customWidth="1"/>
    <col min="16182" max="16182" width="12.42578125" style="134" customWidth="1"/>
    <col min="16183" max="16183" width="13.85546875" style="134" customWidth="1"/>
    <col min="16184" max="16184" width="20.28515625" style="134" customWidth="1"/>
    <col min="16185" max="16185" width="11.7109375" style="134" customWidth="1"/>
    <col min="16186" max="16186" width="17.42578125" style="134" customWidth="1"/>
    <col min="16187" max="16384" width="8.85546875" style="134"/>
  </cols>
  <sheetData>
    <row r="1" spans="1:85" ht="13.5" thickBot="1"/>
    <row r="2" spans="1:85" customFormat="1" ht="15.75" thickBot="1">
      <c r="A2" s="223" t="s">
        <v>209</v>
      </c>
      <c r="B2" s="223" t="s">
        <v>252</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row>
    <row r="3" spans="1:85" ht="15" customHeight="1" thickBot="1">
      <c r="B3" s="136"/>
      <c r="C3" s="381" t="s">
        <v>1</v>
      </c>
      <c r="D3" s="376"/>
      <c r="E3" s="378" t="s">
        <v>161</v>
      </c>
      <c r="F3" s="378"/>
      <c r="G3" s="376" t="s">
        <v>3</v>
      </c>
      <c r="H3" s="376"/>
      <c r="I3" s="376" t="s">
        <v>4</v>
      </c>
      <c r="J3" s="376"/>
      <c r="K3" s="376" t="s">
        <v>5</v>
      </c>
      <c r="L3" s="382"/>
      <c r="M3" s="381" t="s">
        <v>6</v>
      </c>
      <c r="N3" s="376"/>
      <c r="O3" s="376" t="s">
        <v>7</v>
      </c>
      <c r="P3" s="376"/>
      <c r="Q3" s="376" t="s">
        <v>162</v>
      </c>
      <c r="R3" s="376"/>
      <c r="S3" s="376" t="s">
        <v>9</v>
      </c>
      <c r="T3" s="376"/>
      <c r="U3" s="376" t="s">
        <v>10</v>
      </c>
      <c r="V3" s="376"/>
      <c r="W3" s="376" t="s">
        <v>11</v>
      </c>
      <c r="X3" s="376"/>
      <c r="Y3" s="376" t="s">
        <v>12</v>
      </c>
      <c r="Z3" s="376"/>
      <c r="AA3" s="376" t="s">
        <v>13</v>
      </c>
      <c r="AB3" s="376"/>
      <c r="AC3" s="376" t="s">
        <v>14</v>
      </c>
      <c r="AD3" s="376"/>
      <c r="AE3" s="376" t="s">
        <v>15</v>
      </c>
      <c r="AF3" s="376"/>
      <c r="AG3" s="376" t="s">
        <v>16</v>
      </c>
      <c r="AH3" s="376"/>
      <c r="AI3" s="376" t="s">
        <v>17</v>
      </c>
      <c r="AJ3" s="376"/>
      <c r="AK3" s="376" t="s">
        <v>18</v>
      </c>
      <c r="AL3" s="376"/>
      <c r="AM3" s="376" t="s">
        <v>19</v>
      </c>
      <c r="AN3" s="376"/>
      <c r="AO3" s="376" t="s">
        <v>163</v>
      </c>
      <c r="AP3" s="376"/>
      <c r="AQ3" s="376" t="s">
        <v>21</v>
      </c>
      <c r="AR3" s="376"/>
      <c r="AS3" s="376" t="s">
        <v>22</v>
      </c>
      <c r="AT3" s="376"/>
      <c r="AU3" s="376" t="s">
        <v>23</v>
      </c>
      <c r="AV3" s="376"/>
      <c r="AW3" s="376" t="s">
        <v>164</v>
      </c>
      <c r="AX3" s="376"/>
      <c r="AY3" s="376" t="s">
        <v>165</v>
      </c>
      <c r="AZ3" s="376"/>
      <c r="BA3" s="376" t="s">
        <v>25</v>
      </c>
      <c r="BB3" s="376"/>
      <c r="BC3" s="376" t="s">
        <v>26</v>
      </c>
      <c r="BD3" s="376"/>
      <c r="BE3" s="376" t="s">
        <v>27</v>
      </c>
      <c r="BF3" s="376"/>
      <c r="BG3" s="137"/>
      <c r="BH3" s="135"/>
      <c r="BI3" s="135"/>
      <c r="BJ3" s="138"/>
      <c r="BK3" s="138"/>
      <c r="BL3" s="138"/>
      <c r="BM3" s="138"/>
      <c r="BN3" s="138"/>
      <c r="BO3" s="138"/>
      <c r="BP3" s="138"/>
      <c r="BQ3" s="138"/>
      <c r="BR3" s="138"/>
      <c r="BS3" s="138"/>
      <c r="BT3" s="135"/>
      <c r="BU3" s="135"/>
    </row>
    <row r="4" spans="1:85" s="216" customFormat="1" ht="26.25" thickBot="1">
      <c r="B4" s="217"/>
      <c r="C4" s="215" t="s">
        <v>160</v>
      </c>
      <c r="D4" s="152" t="s">
        <v>153</v>
      </c>
      <c r="E4" s="215" t="s">
        <v>160</v>
      </c>
      <c r="F4" s="152" t="s">
        <v>153</v>
      </c>
      <c r="G4" s="215" t="s">
        <v>160</v>
      </c>
      <c r="H4" s="152" t="s">
        <v>153</v>
      </c>
      <c r="I4" s="215" t="s">
        <v>160</v>
      </c>
      <c r="J4" s="152" t="s">
        <v>153</v>
      </c>
      <c r="K4" s="215" t="s">
        <v>160</v>
      </c>
      <c r="L4" s="152" t="s">
        <v>153</v>
      </c>
      <c r="M4" s="215" t="s">
        <v>160</v>
      </c>
      <c r="N4" s="152" t="s">
        <v>153</v>
      </c>
      <c r="O4" s="215" t="s">
        <v>160</v>
      </c>
      <c r="P4" s="152" t="s">
        <v>153</v>
      </c>
      <c r="Q4" s="215" t="s">
        <v>160</v>
      </c>
      <c r="R4" s="152" t="s">
        <v>153</v>
      </c>
      <c r="S4" s="215" t="s">
        <v>160</v>
      </c>
      <c r="T4" s="152" t="s">
        <v>153</v>
      </c>
      <c r="U4" s="215" t="s">
        <v>160</v>
      </c>
      <c r="V4" s="152" t="s">
        <v>153</v>
      </c>
      <c r="W4" s="215" t="s">
        <v>160</v>
      </c>
      <c r="X4" s="152" t="s">
        <v>153</v>
      </c>
      <c r="Y4" s="215" t="s">
        <v>160</v>
      </c>
      <c r="Z4" s="152" t="s">
        <v>153</v>
      </c>
      <c r="AA4" s="215" t="s">
        <v>160</v>
      </c>
      <c r="AB4" s="152" t="s">
        <v>153</v>
      </c>
      <c r="AC4" s="215" t="s">
        <v>160</v>
      </c>
      <c r="AD4" s="152" t="s">
        <v>153</v>
      </c>
      <c r="AE4" s="215" t="s">
        <v>160</v>
      </c>
      <c r="AF4" s="152" t="s">
        <v>153</v>
      </c>
      <c r="AG4" s="215" t="s">
        <v>160</v>
      </c>
      <c r="AH4" s="152" t="s">
        <v>153</v>
      </c>
      <c r="AI4" s="215" t="s">
        <v>160</v>
      </c>
      <c r="AJ4" s="152" t="s">
        <v>153</v>
      </c>
      <c r="AK4" s="215" t="s">
        <v>160</v>
      </c>
      <c r="AL4" s="152" t="s">
        <v>153</v>
      </c>
      <c r="AM4" s="215" t="s">
        <v>160</v>
      </c>
      <c r="AN4" s="152" t="s">
        <v>153</v>
      </c>
      <c r="AO4" s="215" t="s">
        <v>160</v>
      </c>
      <c r="AP4" s="152" t="s">
        <v>153</v>
      </c>
      <c r="AQ4" s="215" t="s">
        <v>160</v>
      </c>
      <c r="AR4" s="152" t="s">
        <v>153</v>
      </c>
      <c r="AS4" s="215" t="s">
        <v>160</v>
      </c>
      <c r="AT4" s="152" t="s">
        <v>153</v>
      </c>
      <c r="AU4" s="215" t="s">
        <v>160</v>
      </c>
      <c r="AV4" s="152" t="s">
        <v>153</v>
      </c>
      <c r="AW4" s="215" t="s">
        <v>160</v>
      </c>
      <c r="AX4" s="152" t="s">
        <v>153</v>
      </c>
      <c r="AY4" s="215" t="s">
        <v>160</v>
      </c>
      <c r="AZ4" s="152" t="s">
        <v>153</v>
      </c>
      <c r="BA4" s="215" t="s">
        <v>160</v>
      </c>
      <c r="BB4" s="152" t="s">
        <v>153</v>
      </c>
      <c r="BC4" s="215" t="s">
        <v>160</v>
      </c>
      <c r="BD4" s="152" t="s">
        <v>153</v>
      </c>
      <c r="BE4" s="215" t="s">
        <v>160</v>
      </c>
      <c r="BF4" s="152" t="s">
        <v>153</v>
      </c>
      <c r="BG4" s="218"/>
      <c r="BH4" s="219"/>
      <c r="BI4" s="219"/>
      <c r="BJ4" s="220"/>
      <c r="BK4" s="220"/>
      <c r="BL4" s="220"/>
      <c r="BM4" s="220"/>
      <c r="BN4" s="220"/>
      <c r="BO4" s="220"/>
      <c r="BP4" s="220"/>
      <c r="BQ4" s="220"/>
      <c r="BR4" s="220"/>
      <c r="BS4" s="220"/>
      <c r="BT4" s="219"/>
      <c r="BU4" s="219"/>
    </row>
    <row r="5" spans="1:85" ht="13.5" thickBot="1">
      <c r="B5" s="221" t="s">
        <v>166</v>
      </c>
      <c r="C5" s="185">
        <f>'Cote-sal, angajator vs. PFA'!B15*12</f>
        <v>10724.400000000001</v>
      </c>
      <c r="D5" s="182">
        <f t="shared" ref="D5:D10" si="0">C5/$C$5*100</f>
        <v>100</v>
      </c>
      <c r="E5" s="182">
        <f>'Cote-sal, angajator vs. PFA'!F15*12</f>
        <v>314198.40000000002</v>
      </c>
      <c r="F5" s="182">
        <f>E5/$E$5*100</f>
        <v>100</v>
      </c>
      <c r="G5" s="182">
        <f>'Cote-sal, angajator vs. PFA'!J15*12</f>
        <v>12780</v>
      </c>
      <c r="H5" s="182">
        <f>G5/$G$5*100</f>
        <v>100</v>
      </c>
      <c r="I5" s="139">
        <f>'Cote-sal, angajator vs. PFA'!N15*12</f>
        <v>9816</v>
      </c>
      <c r="J5" s="139">
        <v>100</v>
      </c>
      <c r="K5" s="177">
        <f>'Cote-sal, angajator vs. PFA'!R15*12</f>
        <v>8821.2000000000007</v>
      </c>
      <c r="L5" s="139">
        <v>100</v>
      </c>
      <c r="M5" s="177">
        <f>'Cote-sal, angajator vs. PFA'!V15*12</f>
        <v>2977798.8</v>
      </c>
      <c r="N5" s="177">
        <v>100</v>
      </c>
      <c r="O5" s="180">
        <f>'Cote-sal, angajator vs. PFA'!Z15*12</f>
        <v>46202.399999999994</v>
      </c>
      <c r="P5" s="139">
        <v>100</v>
      </c>
      <c r="Q5" s="180">
        <f>'Cote-sal, angajator vs. PFA'!AD15*12</f>
        <v>30714</v>
      </c>
      <c r="R5" s="177">
        <v>100</v>
      </c>
      <c r="S5" s="178">
        <f>'Cote-sal, angajator vs. PFA'!AH15*12</f>
        <v>22191.599999999999</v>
      </c>
      <c r="T5" s="139">
        <v>100</v>
      </c>
      <c r="U5" s="178">
        <f>'Cote-sal, angajator vs. PFA'!AL15*12</f>
        <v>12304.800000000001</v>
      </c>
      <c r="V5" s="139">
        <v>100</v>
      </c>
      <c r="W5" s="178">
        <f>'Cote-sal, angajator vs. PFA'!AP15*12</f>
        <v>40677.600000000006</v>
      </c>
      <c r="X5" s="139">
        <v>100</v>
      </c>
      <c r="Y5" s="182">
        <f>'Cote-sal, angajator vs. PFA'!AT15*12</f>
        <v>42861.600000000006</v>
      </c>
      <c r="Z5" s="182">
        <f>Y5/$Y$5*100</f>
        <v>100</v>
      </c>
      <c r="AA5" s="178">
        <f>'Cote-sal, angajator vs. PFA'!AX15*12</f>
        <v>96912</v>
      </c>
      <c r="AB5" s="139">
        <v>100</v>
      </c>
      <c r="AC5" s="178">
        <f>+'Cote-sal, angajator vs. PFA'!BB15*12</f>
        <v>22539</v>
      </c>
      <c r="AD5" s="139">
        <v>100</v>
      </c>
      <c r="AE5" s="182">
        <f>'Cote-sal, angajator vs. PFA'!BF15*12</f>
        <v>428396.39999999997</v>
      </c>
      <c r="AF5" s="182">
        <f>AE5/$AE$5*100</f>
        <v>100</v>
      </c>
      <c r="AG5" s="177">
        <f>'Cote-sal, angajator vs. PFA'!BJ15*12</f>
        <v>40893.600000000006</v>
      </c>
      <c r="AH5" s="177">
        <v>100</v>
      </c>
      <c r="AI5" s="182">
        <f>'Cote-sal, angajator vs. PFA'!BN15*12</f>
        <v>36490.800000000003</v>
      </c>
      <c r="AJ5" s="182">
        <f>AI5/$AI$5*100</f>
        <v>100</v>
      </c>
      <c r="AK5" s="182">
        <f>'Cote-sal, angajator vs. PFA'!BR15*12</f>
        <v>37612.800000000003</v>
      </c>
      <c r="AL5" s="182">
        <f>AK5/$AK$5*100</f>
        <v>100</v>
      </c>
      <c r="AM5" s="182">
        <f>'Cote-sal, angajator vs. PFA'!BV15*12</f>
        <v>17642.400000000001</v>
      </c>
      <c r="AN5" s="182">
        <f>AM5/$AM$5*100</f>
        <v>100</v>
      </c>
      <c r="AO5" s="182">
        <f>'Cote-sal, angajator vs. PFA'!BZ15*12</f>
        <v>47366.399999999994</v>
      </c>
      <c r="AP5" s="182">
        <f>AO5/$AO$5*100</f>
        <v>100</v>
      </c>
      <c r="AQ5" s="182">
        <f>'Cote-sal, angajator vs. PFA'!CD15*12</f>
        <v>28890</v>
      </c>
      <c r="AR5" s="182">
        <f>AQ5/$AQ$5*100</f>
        <v>100</v>
      </c>
      <c r="AS5" s="180">
        <f>'Cote-sal, angajator vs. PFA'!CH15*12</f>
        <v>46383.600000000006</v>
      </c>
      <c r="AT5" s="177">
        <v>100</v>
      </c>
      <c r="AU5" s="180">
        <f>'Cote-sal, angajator vs. PFA'!CL15*12</f>
        <v>16368</v>
      </c>
      <c r="AV5" s="139">
        <v>100</v>
      </c>
      <c r="AW5" s="182">
        <f>'Cote-sal, angajator vs. PFA'!CP15*12</f>
        <v>27478.800000000003</v>
      </c>
      <c r="AX5" s="182">
        <f>AW5/$AW$5*100</f>
        <v>100</v>
      </c>
      <c r="AY5" s="180">
        <f>'Cote-sal, angajator vs. PFA'!CT15*12</f>
        <v>33102</v>
      </c>
      <c r="AZ5" s="177">
        <v>100</v>
      </c>
      <c r="BA5" s="177">
        <f>'Cote-sal, angajator vs. PFA'!CX15*12</f>
        <v>60381.600000000006</v>
      </c>
      <c r="BB5" s="177">
        <v>100</v>
      </c>
      <c r="BC5" s="182">
        <f>+'Cote-sal, angajator vs. PFA'!DB15*12</f>
        <v>16546.74999999996</v>
      </c>
      <c r="BD5" s="177">
        <v>100</v>
      </c>
      <c r="BE5" s="180">
        <f>'Cote-sal, angajator vs. PFA'!DF15*12</f>
        <v>389385.6</v>
      </c>
      <c r="BF5" s="180">
        <v>100</v>
      </c>
      <c r="BG5" s="137"/>
      <c r="BH5" s="135"/>
      <c r="BI5" s="135"/>
      <c r="BJ5" s="138"/>
      <c r="BK5" s="138"/>
      <c r="BL5" s="138"/>
      <c r="BM5" s="138"/>
      <c r="BN5" s="138"/>
      <c r="BO5" s="138"/>
      <c r="BP5" s="138"/>
      <c r="BQ5" s="138"/>
      <c r="BR5" s="138"/>
      <c r="BS5" s="138"/>
      <c r="BT5" s="135"/>
      <c r="BU5" s="135"/>
    </row>
    <row r="6" spans="1:85" ht="13.5" thickBot="1">
      <c r="B6" s="221" t="s">
        <v>154</v>
      </c>
      <c r="C6" s="182">
        <f>C5*0.258</f>
        <v>2766.8952000000004</v>
      </c>
      <c r="D6" s="182">
        <f t="shared" si="0"/>
        <v>25.8</v>
      </c>
      <c r="E6" s="182">
        <f>E5*(0.28+0.012+0.135/2)</f>
        <v>112954.32480000002</v>
      </c>
      <c r="F6" s="182">
        <f t="shared" ref="F6:F10" si="1">E6/$E$5*100</f>
        <v>35.950000000000003</v>
      </c>
      <c r="G6" s="182">
        <f>G5*0.33</f>
        <v>4217.4000000000005</v>
      </c>
      <c r="H6" s="182">
        <f t="shared" ref="H6:H10" si="2">G6/$G$5*100</f>
        <v>33</v>
      </c>
      <c r="I6" s="177">
        <f>+I5*'Cote-sal, angajator vs. PFA'!Q8/100</f>
        <v>3048.8496</v>
      </c>
      <c r="J6" s="177">
        <f>I6/I$5*100</f>
        <v>31.06</v>
      </c>
      <c r="K6" s="177">
        <f>K5*'Cote-sal, angajator vs. PFA'!U9/100+'Cote-sal, angajator vs. PFA'!U10/100</f>
        <v>2320.0656000000004</v>
      </c>
      <c r="L6" s="177">
        <f>K6/$K$5*100</f>
        <v>26.30102026935111</v>
      </c>
      <c r="M6" s="177">
        <f>M5*'Cote-sal, angajator vs. PFA'!Y8/100</f>
        <v>804005.67599999998</v>
      </c>
      <c r="N6" s="177">
        <f>M6/$M$5*100</f>
        <v>27</v>
      </c>
      <c r="O6" s="180">
        <f>(O5-2248)*'Cote-sal, angajator vs. PFA'!AC8/100</f>
        <v>12755.566879999998</v>
      </c>
      <c r="P6" s="177">
        <f>O6/$O$5*100</f>
        <v>27.608017938462069</v>
      </c>
      <c r="Q6" s="180">
        <f>Q5*'Cote-sal, angajator vs. PFA'!AG8/100</f>
        <v>4914.24</v>
      </c>
      <c r="R6" s="177">
        <f>Q6/$Q$5*100</f>
        <v>16</v>
      </c>
      <c r="S6" s="179">
        <f>S5*'Cote-sal, angajator vs. PFA'!AK8/100</f>
        <v>8477.1911999999993</v>
      </c>
      <c r="T6" s="177">
        <f>S6/S$5*100</f>
        <v>38.200000000000003</v>
      </c>
      <c r="U6" s="179">
        <f>+U5*0.526*('Cote-sal, angajator vs. PFA'!AN9+'Cote-sal, angajator vs. PFA'!AN11+'Cote-sal, angajator vs. PFA'!AN12)/100+U5*0.625*('Cote-sal, angajator vs. PFA'!AN10)/100</f>
        <v>3316.0943808000006</v>
      </c>
      <c r="V6" s="177">
        <f>U6/U$5*100</f>
        <v>26.9496</v>
      </c>
      <c r="W6" s="179">
        <f>+W5*'Cote-sal, angajator vs. PFA'!AS8/100</f>
        <v>10637.1924</v>
      </c>
      <c r="X6" s="177">
        <f>W6/W$5*100</f>
        <v>26.149999999999995</v>
      </c>
      <c r="Y6" s="182">
        <f>Y5*0.22</f>
        <v>9429.5520000000015</v>
      </c>
      <c r="Z6" s="182">
        <f t="shared" ref="Z6:Z10" si="3">Y6/$Y$5*100</f>
        <v>22</v>
      </c>
      <c r="AA6" s="179">
        <f>+AA5*'Cote-sal, angajator vs. PFA'!BA8/100</f>
        <v>35566.704000000005</v>
      </c>
      <c r="AB6" s="177">
        <f>AA6/AA$5*100</f>
        <v>36.700000000000003</v>
      </c>
      <c r="AC6" s="179">
        <f>+AC5*'Cote-sal, angajator vs. PFA'!BA8/100</f>
        <v>8271.8130000000001</v>
      </c>
      <c r="AD6" s="177">
        <f>AC6/AC$5*100</f>
        <v>36.700000000000003</v>
      </c>
      <c r="AE6" s="182">
        <v>0</v>
      </c>
      <c r="AF6" s="182">
        <f t="shared" ref="AF6:AF10" si="4">AE6/$AE$5*100</f>
        <v>0</v>
      </c>
      <c r="AG6" s="177">
        <f>AG5*'Cote-sal, angajator vs. PFA'!BM8/100</f>
        <v>9691.7831999999999</v>
      </c>
      <c r="AH6" s="177">
        <f>AG6/$AG$5*100</f>
        <v>23.699999999999996</v>
      </c>
      <c r="AI6" s="182">
        <f>AI5*0.458</f>
        <v>16712.786400000001</v>
      </c>
      <c r="AJ6" s="182">
        <f t="shared" ref="AJ6:AJ10" si="5">AI6/$AI$5*100</f>
        <v>45.8</v>
      </c>
      <c r="AK6" s="182">
        <f>AK5*0.14</f>
        <v>5265.7920000000013</v>
      </c>
      <c r="AL6" s="182">
        <f t="shared" ref="AL6:AL10" si="6">AK6/$AK$5*100</f>
        <v>14.000000000000002</v>
      </c>
      <c r="AM6" s="182">
        <f>AM5*0.276</f>
        <v>4869.3024000000005</v>
      </c>
      <c r="AN6" s="182">
        <f t="shared" ref="AN6:AN10" si="7">AM6/$AM$5*100</f>
        <v>27.6</v>
      </c>
      <c r="AO6" s="182">
        <f>AO5*0.04</f>
        <v>1894.6559999999997</v>
      </c>
      <c r="AP6" s="182">
        <f t="shared" ref="AP6:AP10" si="8">AO6/$AO$5*100</f>
        <v>4</v>
      </c>
      <c r="AQ6" s="182">
        <f>(AQ5-15548)*0.2265</f>
        <v>3021.9630000000002</v>
      </c>
      <c r="AR6" s="182">
        <f t="shared" ref="AR6:AR10" si="9">AQ6/$AQ$5*100</f>
        <v>10.460238836967809</v>
      </c>
      <c r="AS6" s="179">
        <f>AS5*(0.1515+0.006)+0.179*33589</f>
        <v>13317.848000000002</v>
      </c>
      <c r="AT6" s="177">
        <f>AS6/$AG$5*100</f>
        <v>32.567071620008996</v>
      </c>
      <c r="AU6" s="179">
        <f>AU5*'Cote-sal, angajator vs. PFA'!CO8/100</f>
        <v>4844.9280000000008</v>
      </c>
      <c r="AV6" s="177">
        <f>AU6/$AU$5*100</f>
        <v>29.600000000000005</v>
      </c>
      <c r="AW6" s="182">
        <f>AW5*0.298</f>
        <v>8188.6824000000006</v>
      </c>
      <c r="AX6" s="182">
        <f t="shared" ref="AX6:AX10" si="10">AW6/$AW$5*100</f>
        <v>29.799999999999997</v>
      </c>
      <c r="AY6" s="179">
        <f>0.09*(AY5-7956)</f>
        <v>2263.14</v>
      </c>
      <c r="AZ6" s="177">
        <f>AY6/$AY$5*100</f>
        <v>6.8368678629690036</v>
      </c>
      <c r="BA6" s="177">
        <f>BA5*'Cote-sal, angajator vs. PFA'!DA8/100</f>
        <v>14008.531200000003</v>
      </c>
      <c r="BB6" s="177">
        <f>BA6/$BA$5*100</f>
        <v>23.200000000000003</v>
      </c>
      <c r="BC6" s="182">
        <f>0.2847*(9869-910)+0.15*(BC5-9870)</f>
        <v>3552.139799999994</v>
      </c>
      <c r="BD6" s="177">
        <f>BC6/BC$5*100</f>
        <v>21.467295994681752</v>
      </c>
      <c r="BE6" s="178">
        <f>BE5*'Cote-sal, angajator vs. PFA'!DI8/100</f>
        <v>112805.00832000001</v>
      </c>
      <c r="BF6" s="180">
        <f>BE6/$BE$5*100</f>
        <v>28.970000000000002</v>
      </c>
      <c r="BG6" s="137"/>
      <c r="BH6" s="135"/>
      <c r="BI6" s="135"/>
      <c r="BJ6" s="138"/>
      <c r="BK6" s="138"/>
      <c r="BL6" s="138"/>
      <c r="BM6" s="138"/>
      <c r="BN6" s="138"/>
      <c r="BO6" s="138"/>
      <c r="BP6" s="138"/>
      <c r="BQ6" s="138"/>
      <c r="BR6" s="138"/>
      <c r="BS6" s="138"/>
      <c r="BT6" s="135"/>
      <c r="BU6" s="135"/>
    </row>
    <row r="7" spans="1:85" ht="13.5" thickBot="1">
      <c r="B7" s="221" t="s">
        <v>155</v>
      </c>
      <c r="C7" s="182">
        <f>C5-C6</f>
        <v>7957.5048000000006</v>
      </c>
      <c r="D7" s="182">
        <f t="shared" si="0"/>
        <v>74.2</v>
      </c>
      <c r="E7" s="182">
        <f>E5-E6</f>
        <v>201244.07520000002</v>
      </c>
      <c r="F7" s="182">
        <f>E7/$E$5*100</f>
        <v>64.050000000000011</v>
      </c>
      <c r="G7" s="182">
        <f>G5-G6</f>
        <v>8562.5999999999985</v>
      </c>
      <c r="H7" s="182">
        <f t="shared" si="2"/>
        <v>67</v>
      </c>
      <c r="I7" s="177">
        <f>+I5-I6</f>
        <v>6767.1504000000004</v>
      </c>
      <c r="J7" s="177">
        <f t="shared" ref="J7:J10" si="11">I7/I$5*100</f>
        <v>68.94</v>
      </c>
      <c r="K7" s="177">
        <f>K5-K6</f>
        <v>6501.1344000000008</v>
      </c>
      <c r="L7" s="177">
        <f t="shared" ref="L7:L10" si="12">K7/$K$5*100</f>
        <v>73.698979730648901</v>
      </c>
      <c r="M7" s="177">
        <f>M5-M6</f>
        <v>2173793.1239999998</v>
      </c>
      <c r="N7" s="177">
        <f t="shared" ref="N7:N10" si="13">M7/$M$5*100</f>
        <v>73</v>
      </c>
      <c r="O7" s="180">
        <f>O5-O6</f>
        <v>33446.833119999996</v>
      </c>
      <c r="P7" s="177">
        <f t="shared" ref="P7:P10" si="14">O7/$O$5*100</f>
        <v>72.391982061537931</v>
      </c>
      <c r="Q7" s="180">
        <f>Q5-Q6</f>
        <v>25799.760000000002</v>
      </c>
      <c r="R7" s="177">
        <f t="shared" ref="R7:R10" si="15">Q7/$Q$5*100</f>
        <v>84.000000000000014</v>
      </c>
      <c r="S7" s="179">
        <f>S5-S6</f>
        <v>13714.408799999999</v>
      </c>
      <c r="T7" s="177">
        <f t="shared" ref="T7:V10" si="16">S7/S$5*100</f>
        <v>61.8</v>
      </c>
      <c r="U7" s="179">
        <f>+U5-U6</f>
        <v>8988.7056192</v>
      </c>
      <c r="V7" s="177">
        <f t="shared" si="16"/>
        <v>73.050399999999996</v>
      </c>
      <c r="W7" s="179">
        <f>+W5-W6</f>
        <v>30040.407600000006</v>
      </c>
      <c r="X7" s="177">
        <f t="shared" ref="X7" si="17">W7/W$5*100</f>
        <v>73.850000000000009</v>
      </c>
      <c r="Y7" s="182">
        <f>Y5-Y6</f>
        <v>33432.048000000003</v>
      </c>
      <c r="Z7" s="182">
        <f t="shared" si="3"/>
        <v>77.999999999999986</v>
      </c>
      <c r="AA7" s="179">
        <f>+AA5-AA6</f>
        <v>61345.295999999995</v>
      </c>
      <c r="AB7" s="177">
        <f t="shared" ref="AB7:AD10" si="18">AA7/AA$5*100</f>
        <v>63.29999999999999</v>
      </c>
      <c r="AC7" s="179">
        <f>+AC5-AC6</f>
        <v>14267.187</v>
      </c>
      <c r="AD7" s="177">
        <f t="shared" si="18"/>
        <v>63.3</v>
      </c>
      <c r="AE7" s="182">
        <f>AE5-AE6</f>
        <v>428396.39999999997</v>
      </c>
      <c r="AF7" s="182">
        <f t="shared" si="4"/>
        <v>100</v>
      </c>
      <c r="AG7" s="177">
        <f>AG5-AG6</f>
        <v>31201.816800000008</v>
      </c>
      <c r="AH7" s="177">
        <f t="shared" ref="AH7:AH10" si="19">AG7/$AG$5*100</f>
        <v>76.300000000000011</v>
      </c>
      <c r="AI7" s="182">
        <f>AI5-AI6</f>
        <v>19778.013600000002</v>
      </c>
      <c r="AJ7" s="182">
        <f t="shared" si="5"/>
        <v>54.2</v>
      </c>
      <c r="AK7" s="182">
        <f>AK5-AK6</f>
        <v>32347.008000000002</v>
      </c>
      <c r="AL7" s="182">
        <f t="shared" si="6"/>
        <v>86</v>
      </c>
      <c r="AM7" s="182">
        <f>AM5-AM6</f>
        <v>12773.097600000001</v>
      </c>
      <c r="AN7" s="182">
        <f t="shared" si="7"/>
        <v>72.399999999999991</v>
      </c>
      <c r="AO7" s="182">
        <f>AO5-AO6</f>
        <v>45471.743999999992</v>
      </c>
      <c r="AP7" s="182">
        <f t="shared" si="8"/>
        <v>96</v>
      </c>
      <c r="AQ7" s="182">
        <f>AQ5-AQ6</f>
        <v>25868.037</v>
      </c>
      <c r="AR7" s="182">
        <f t="shared" si="9"/>
        <v>89.539761163032196</v>
      </c>
      <c r="AS7" s="179">
        <f>AS5-AS6</f>
        <v>33065.752000000008</v>
      </c>
      <c r="AT7" s="177">
        <f t="shared" ref="AT7:AT10" si="20">AS7/$AG$5*100</f>
        <v>80.858012011659525</v>
      </c>
      <c r="AU7" s="179">
        <f>AU5-AU6</f>
        <v>11523.072</v>
      </c>
      <c r="AV7" s="177">
        <f t="shared" ref="AV7:AV10" si="21">AU7/$AU$5*100</f>
        <v>70.399999999999991</v>
      </c>
      <c r="AW7" s="182">
        <f>AW5-AW6</f>
        <v>19290.117600000001</v>
      </c>
      <c r="AX7" s="182">
        <f t="shared" si="10"/>
        <v>70.199999999999989</v>
      </c>
      <c r="AY7" s="179">
        <f>AY5-AY6</f>
        <v>30838.86</v>
      </c>
      <c r="AZ7" s="177">
        <f t="shared" ref="AZ7:AZ10" si="22">AY7/$AY$5*100</f>
        <v>93.163132137030999</v>
      </c>
      <c r="BA7" s="177">
        <f>BA5-BA6</f>
        <v>46373.068800000001</v>
      </c>
      <c r="BB7" s="177">
        <f t="shared" ref="BB7:BB10" si="23">BA7/$BA$5*100</f>
        <v>76.8</v>
      </c>
      <c r="BC7" s="182">
        <f>+BC5-BC6</f>
        <v>12994.610199999966</v>
      </c>
      <c r="BD7" s="177">
        <f t="shared" ref="BD7:BD10" si="24">BC7/BC$5*100</f>
        <v>78.532704005318251</v>
      </c>
      <c r="BE7" s="178">
        <f>BE5-BE6</f>
        <v>276580.59167999995</v>
      </c>
      <c r="BF7" s="180">
        <f t="shared" ref="BF7:BF10" si="25">BE7/$BE$5*100</f>
        <v>71.029999999999987</v>
      </c>
      <c r="BG7" s="137"/>
      <c r="BH7" s="135"/>
      <c r="BI7" s="135"/>
      <c r="BJ7" s="138"/>
      <c r="BK7" s="138"/>
      <c r="BL7" s="138"/>
      <c r="BM7" s="138"/>
      <c r="BN7" s="138"/>
      <c r="BO7" s="138"/>
      <c r="BP7" s="138"/>
      <c r="BQ7" s="138"/>
      <c r="BR7" s="138"/>
      <c r="BS7" s="138"/>
      <c r="BT7" s="135"/>
      <c r="BU7" s="135"/>
    </row>
    <row r="8" spans="1:85" ht="13.5" thickBot="1">
      <c r="B8" s="221" t="s">
        <v>150</v>
      </c>
      <c r="C8" s="182">
        <f>C7*0.15</f>
        <v>1193.62572</v>
      </c>
      <c r="D8" s="182">
        <f t="shared" si="0"/>
        <v>11.129999999999999</v>
      </c>
      <c r="E8" s="182">
        <f>E7*0.15</f>
        <v>30186.611280000001</v>
      </c>
      <c r="F8" s="182">
        <f t="shared" si="1"/>
        <v>9.6074999999999999</v>
      </c>
      <c r="G8" s="182">
        <f>G7*0.2</f>
        <v>1712.5199999999998</v>
      </c>
      <c r="H8" s="182">
        <f t="shared" si="2"/>
        <v>13.399999999999999</v>
      </c>
      <c r="I8" s="177">
        <f>+I7*'Cote-sal, angajator vs. PFA'!Q4/100</f>
        <v>1556.4445920000001</v>
      </c>
      <c r="J8" s="177">
        <f t="shared" si="11"/>
        <v>15.856200000000001</v>
      </c>
      <c r="K8" s="177">
        <f>'Cote-sal, angajator vs. PFA'!U4/100*'Ex. presiune fiscala PFA'!K7</f>
        <v>975.17016000000012</v>
      </c>
      <c r="L8" s="177">
        <f t="shared" si="12"/>
        <v>11.054846959597334</v>
      </c>
      <c r="M8" s="177">
        <f>M7*'Cote-sal, angajator vs. PFA'!Y4/100</f>
        <v>347806.89983999997</v>
      </c>
      <c r="N8" s="177">
        <f t="shared" si="13"/>
        <v>11.68</v>
      </c>
      <c r="O8" s="180">
        <f>O7*0.19</f>
        <v>6354.8982927999996</v>
      </c>
      <c r="P8" s="177">
        <f t="shared" si="14"/>
        <v>13.754476591692208</v>
      </c>
      <c r="Q8" s="180">
        <f>Q7*'Cote-sal, angajator vs. PFA'!AG4/100</f>
        <v>4127.9616000000005</v>
      </c>
      <c r="R8" s="177">
        <f t="shared" si="15"/>
        <v>13.440000000000001</v>
      </c>
      <c r="S8" s="179">
        <f>0.16*8021.34+(13714-8021.34)*0.27</f>
        <v>2820.4326000000001</v>
      </c>
      <c r="T8" s="177">
        <f t="shared" si="16"/>
        <v>12.709460336343485</v>
      </c>
      <c r="U8" s="179">
        <f>+U7*0.19</f>
        <v>1707.854067648</v>
      </c>
      <c r="V8" s="177">
        <f t="shared" si="16"/>
        <v>13.879575999999998</v>
      </c>
      <c r="W8" s="179">
        <f>0.365*(25000-11000)+0.4321*(W7-25000)</f>
        <v>7287.9601239600024</v>
      </c>
      <c r="X8" s="177">
        <f t="shared" ref="X8" si="26">W8/W$5*100</f>
        <v>17.916396552303972</v>
      </c>
      <c r="Y8" s="182">
        <f>0.25*8680+0.3*(12360-8680)+0.4*(20600-12360)+0.45*(37750-20600)+0.5*(Y7-37750)</f>
        <v>12128.524000000001</v>
      </c>
      <c r="Z8" s="182">
        <f t="shared" si="3"/>
        <v>28.296946450902439</v>
      </c>
      <c r="AA8" s="179">
        <f>0.12*26400+0.25*(AA7-26400)</f>
        <v>11904.323999999999</v>
      </c>
      <c r="AB8" s="177">
        <f t="shared" si="18"/>
        <v>12.283642892521049</v>
      </c>
      <c r="AC8" s="179">
        <v>0</v>
      </c>
      <c r="AD8" s="177">
        <f t="shared" si="18"/>
        <v>0</v>
      </c>
      <c r="AE8" s="182">
        <f>0.42*AE7</f>
        <v>179926.48799999998</v>
      </c>
      <c r="AF8" s="182">
        <f t="shared" si="4"/>
        <v>42</v>
      </c>
      <c r="AG8" s="177">
        <f>0.065*(24700-16500)+0.175*(31201.8-24700)</f>
        <v>1670.8149999999998</v>
      </c>
      <c r="AH8" s="177">
        <f t="shared" si="19"/>
        <v>4.0857615861650718</v>
      </c>
      <c r="AI8" s="182">
        <f>0.14*(AI7-9690)</f>
        <v>1412.3219040000004</v>
      </c>
      <c r="AJ8" s="182">
        <f t="shared" si="5"/>
        <v>3.8703506198822719</v>
      </c>
      <c r="AK8" s="182">
        <f>0.14*(AK7-8355)</f>
        <v>3358.8811200000005</v>
      </c>
      <c r="AL8" s="182">
        <f t="shared" si="6"/>
        <v>8.9301544155181229</v>
      </c>
      <c r="AM8" s="182">
        <f>AM7*0.26</f>
        <v>3321.0053760000005</v>
      </c>
      <c r="AN8" s="182">
        <f t="shared" si="7"/>
        <v>18.824000000000002</v>
      </c>
      <c r="AO8" s="182">
        <f>0.2*33800+0.4*(AO7-33800)</f>
        <v>11428.697599999996</v>
      </c>
      <c r="AP8" s="182">
        <f t="shared" si="8"/>
        <v>24.128279962167269</v>
      </c>
      <c r="AQ8" s="182">
        <f>0.23*15000+0.27*(AQ7-15000)</f>
        <v>6384.3699900000001</v>
      </c>
      <c r="AR8" s="182">
        <f t="shared" si="9"/>
        <v>22.098892315680168</v>
      </c>
      <c r="AS8" s="179">
        <f>0.0835*19822+0.1385*(AS7-19822)</f>
        <v>3489.3966520000013</v>
      </c>
      <c r="AT8" s="177">
        <f t="shared" si="20"/>
        <v>8.5328673728896476</v>
      </c>
      <c r="AU8" s="179">
        <f>0.145*7000+0.285*(11523-7000)</f>
        <v>2304.0549999999998</v>
      </c>
      <c r="AV8" s="177">
        <f t="shared" si="21"/>
        <v>14.076582355816225</v>
      </c>
      <c r="AW8" s="182">
        <f>0.2*12450+0.25*(AW7-12450)</f>
        <v>4200.0294000000004</v>
      </c>
      <c r="AX8" s="182">
        <f t="shared" si="10"/>
        <v>15.284617232193545</v>
      </c>
      <c r="AY8" s="179">
        <f>AY7*0.2</f>
        <v>6167.7720000000008</v>
      </c>
      <c r="AZ8" s="177">
        <f t="shared" si="22"/>
        <v>18.632626427406201</v>
      </c>
      <c r="BA8" s="177">
        <f>(0.08*(13172-11265))+(0.1*(15080-13173))+(0.12*(16988-15081))+(0.14*(18896-16989))+(0.16*(20804-18897))+(0.18*(22712-20805))+(0.2*(24620-22713))+(0.22*(26528-24621))+(0.24*(28436-26529))+(0.26*(30344-28437))+(0.28*(32252-30345))+(0.3*(34160-32253))+(0.32*(36068-34161))+(0.34*(37976-36069))+(0.36*(39854-37977))+(0.38*(41792-39855))+(0.39*(BA7-41793))</f>
        <v>8804.5868320000009</v>
      </c>
      <c r="BB8" s="177">
        <f t="shared" si="23"/>
        <v>14.581572585025901</v>
      </c>
      <c r="BC8" s="182">
        <f>0.15*(BC7-8500)</f>
        <v>674.19152999999494</v>
      </c>
      <c r="BD8" s="177">
        <f t="shared" si="24"/>
        <v>4.0744649553537498</v>
      </c>
      <c r="BE8" s="180">
        <v>0</v>
      </c>
      <c r="BF8" s="180">
        <f t="shared" si="25"/>
        <v>0</v>
      </c>
      <c r="BG8" s="137"/>
      <c r="BH8" s="135"/>
      <c r="BI8" s="135"/>
      <c r="BJ8" s="138"/>
      <c r="BK8" s="138"/>
      <c r="BL8" s="138"/>
      <c r="BM8" s="138"/>
      <c r="BN8" s="138"/>
      <c r="BO8" s="138"/>
      <c r="BP8" s="138"/>
      <c r="BQ8" s="138"/>
      <c r="BR8" s="138"/>
      <c r="BS8" s="138"/>
      <c r="BT8" s="135"/>
      <c r="BU8" s="135"/>
    </row>
    <row r="9" spans="1:85" ht="13.5" thickBot="1">
      <c r="B9" s="221" t="s">
        <v>167</v>
      </c>
      <c r="C9" s="182">
        <f>C6+C8</f>
        <v>3960.5209200000004</v>
      </c>
      <c r="D9" s="182">
        <f t="shared" si="0"/>
        <v>36.929999999999993</v>
      </c>
      <c r="E9" s="182">
        <f>E6+E8</f>
        <v>143140.93608000001</v>
      </c>
      <c r="F9" s="182">
        <f t="shared" si="1"/>
        <v>45.557499999999997</v>
      </c>
      <c r="G9" s="182">
        <f>G6+G8</f>
        <v>5929.92</v>
      </c>
      <c r="H9" s="182">
        <f t="shared" si="2"/>
        <v>46.400000000000006</v>
      </c>
      <c r="I9" s="177">
        <f>+I6+I8</f>
        <v>4605.2941920000003</v>
      </c>
      <c r="J9" s="177">
        <f t="shared" si="11"/>
        <v>46.916200000000003</v>
      </c>
      <c r="K9" s="177">
        <f>K8+K6</f>
        <v>3295.2357600000005</v>
      </c>
      <c r="L9" s="177">
        <f t="shared" si="12"/>
        <v>37.355867228948448</v>
      </c>
      <c r="M9" s="177">
        <f>M8+M6</f>
        <v>1151812.5758400001</v>
      </c>
      <c r="N9" s="177">
        <f t="shared" si="13"/>
        <v>38.680000000000007</v>
      </c>
      <c r="O9" s="180">
        <f>O8+O6</f>
        <v>19110.465172799999</v>
      </c>
      <c r="P9" s="177">
        <f t="shared" si="14"/>
        <v>41.362494530154279</v>
      </c>
      <c r="Q9" s="180">
        <f>Q8+Q6</f>
        <v>9042.2016000000003</v>
      </c>
      <c r="R9" s="177">
        <f t="shared" si="15"/>
        <v>29.439999999999998</v>
      </c>
      <c r="S9" s="179">
        <f>S8+S6</f>
        <v>11297.623799999999</v>
      </c>
      <c r="T9" s="177">
        <f t="shared" si="16"/>
        <v>50.909460336343479</v>
      </c>
      <c r="U9" s="179">
        <f>U8+U6</f>
        <v>5023.9484484480008</v>
      </c>
      <c r="V9" s="177">
        <f t="shared" si="16"/>
        <v>40.829176000000004</v>
      </c>
      <c r="W9" s="179">
        <f>W8+W6</f>
        <v>17925.152523960001</v>
      </c>
      <c r="X9" s="177">
        <f t="shared" ref="X9" si="27">W9/W$5*100</f>
        <v>44.066396552303964</v>
      </c>
      <c r="Y9" s="182">
        <f>Y6+Y8</f>
        <v>21558.076000000001</v>
      </c>
      <c r="Z9" s="182">
        <f t="shared" si="3"/>
        <v>50.296946450902439</v>
      </c>
      <c r="AA9" s="179">
        <f>AA8+AA6</f>
        <v>47471.028000000006</v>
      </c>
      <c r="AB9" s="177">
        <f t="shared" si="18"/>
        <v>48.983642892521054</v>
      </c>
      <c r="AC9" s="179">
        <f>AC8+AC6</f>
        <v>8271.8130000000001</v>
      </c>
      <c r="AD9" s="177">
        <f t="shared" si="18"/>
        <v>36.700000000000003</v>
      </c>
      <c r="AE9" s="182">
        <f>AE6+AE8</f>
        <v>179926.48799999998</v>
      </c>
      <c r="AF9" s="182">
        <f t="shared" si="4"/>
        <v>42</v>
      </c>
      <c r="AG9" s="177">
        <f>AG8+AG6</f>
        <v>11362.5982</v>
      </c>
      <c r="AH9" s="177">
        <f t="shared" si="19"/>
        <v>27.785761586165069</v>
      </c>
      <c r="AI9" s="182">
        <f>AI6+AI8</f>
        <v>18125.108304000001</v>
      </c>
      <c r="AJ9" s="182">
        <f t="shared" si="5"/>
        <v>49.670350619882271</v>
      </c>
      <c r="AK9" s="182">
        <f>AK6+AK8</f>
        <v>8624.6731200000013</v>
      </c>
      <c r="AL9" s="182">
        <f t="shared" si="6"/>
        <v>22.930154415518121</v>
      </c>
      <c r="AM9" s="182">
        <f>AM6+AM8</f>
        <v>8190.3077760000015</v>
      </c>
      <c r="AN9" s="182">
        <f t="shared" si="7"/>
        <v>46.424000000000007</v>
      </c>
      <c r="AO9" s="182">
        <f>AO6+AO8</f>
        <v>13323.353599999995</v>
      </c>
      <c r="AP9" s="182">
        <f t="shared" si="8"/>
        <v>28.128279962167269</v>
      </c>
      <c r="AQ9" s="182">
        <f>AQ6+AQ8</f>
        <v>9406.3329900000008</v>
      </c>
      <c r="AR9" s="182">
        <f t="shared" si="9"/>
        <v>32.559131152647979</v>
      </c>
      <c r="AS9" s="179">
        <f>AS8+AS6</f>
        <v>16807.244652000001</v>
      </c>
      <c r="AT9" s="177">
        <f t="shared" si="20"/>
        <v>41.099938992898643</v>
      </c>
      <c r="AU9" s="179">
        <f>AU8+AU6</f>
        <v>7148.9830000000002</v>
      </c>
      <c r="AV9" s="177">
        <f t="shared" si="21"/>
        <v>43.67658235581623</v>
      </c>
      <c r="AW9" s="182">
        <f>AW6+AW8</f>
        <v>12388.711800000001</v>
      </c>
      <c r="AX9" s="182">
        <f t="shared" si="10"/>
        <v>45.084617232193544</v>
      </c>
      <c r="AY9" s="179">
        <f>AY8+AY6</f>
        <v>8430.9120000000003</v>
      </c>
      <c r="AZ9" s="177">
        <f t="shared" si="22"/>
        <v>25.469494290375206</v>
      </c>
      <c r="BA9" s="177">
        <f>BA8+BA6</f>
        <v>22813.118032000006</v>
      </c>
      <c r="BB9" s="177">
        <f t="shared" si="23"/>
        <v>37.781572585025906</v>
      </c>
      <c r="BC9" s="183">
        <f>BC6+BC8</f>
        <v>4226.3313299999891</v>
      </c>
      <c r="BD9" s="177">
        <f t="shared" si="24"/>
        <v>25.541760950035503</v>
      </c>
      <c r="BE9" s="178">
        <f>BE8+BE6</f>
        <v>112805.00832000001</v>
      </c>
      <c r="BF9" s="180">
        <f t="shared" si="25"/>
        <v>28.970000000000002</v>
      </c>
      <c r="BG9" s="137"/>
      <c r="BH9" s="135"/>
      <c r="BI9" s="135"/>
      <c r="BJ9" s="138"/>
      <c r="BK9" s="138"/>
      <c r="BL9" s="138"/>
      <c r="BM9" s="138"/>
      <c r="BN9" s="138"/>
      <c r="BO9" s="138"/>
      <c r="BP9" s="138"/>
      <c r="BQ9" s="138"/>
      <c r="BR9" s="138"/>
      <c r="BS9" s="138"/>
      <c r="BT9" s="135"/>
      <c r="BU9" s="135"/>
    </row>
    <row r="10" spans="1:85">
      <c r="B10" s="221" t="s">
        <v>156</v>
      </c>
      <c r="C10" s="182">
        <f>C5-C9</f>
        <v>6763.8790800000006</v>
      </c>
      <c r="D10" s="182">
        <f t="shared" si="0"/>
        <v>63.069999999999993</v>
      </c>
      <c r="E10" s="182">
        <f>E5-E9</f>
        <v>171057.46392000001</v>
      </c>
      <c r="F10" s="182">
        <f t="shared" si="1"/>
        <v>54.442499999999995</v>
      </c>
      <c r="G10" s="182">
        <f>G5-G9</f>
        <v>6850.08</v>
      </c>
      <c r="H10" s="182">
        <f t="shared" si="2"/>
        <v>53.6</v>
      </c>
      <c r="I10" s="177">
        <f>+I5-I9</f>
        <v>5210.7058079999997</v>
      </c>
      <c r="J10" s="177">
        <f t="shared" si="11"/>
        <v>53.083799999999989</v>
      </c>
      <c r="K10" s="177">
        <f>K5-K9</f>
        <v>5525.9642400000002</v>
      </c>
      <c r="L10" s="177">
        <f t="shared" si="12"/>
        <v>62.644132771051552</v>
      </c>
      <c r="M10" s="177">
        <f>M5-M9</f>
        <v>1825986.2241599998</v>
      </c>
      <c r="N10" s="177">
        <f t="shared" si="13"/>
        <v>61.319999999999993</v>
      </c>
      <c r="O10" s="180">
        <f>O5-O9</f>
        <v>27091.934827199995</v>
      </c>
      <c r="P10" s="177">
        <f t="shared" si="14"/>
        <v>58.637505469845721</v>
      </c>
      <c r="Q10" s="180">
        <f>Q5-Q9</f>
        <v>21671.7984</v>
      </c>
      <c r="R10" s="177">
        <f t="shared" si="15"/>
        <v>70.56</v>
      </c>
      <c r="S10" s="179">
        <f>S5-S9</f>
        <v>10893.976199999999</v>
      </c>
      <c r="T10" s="177">
        <f t="shared" si="16"/>
        <v>49.090539663656521</v>
      </c>
      <c r="U10" s="179">
        <f>U5-U9</f>
        <v>7280.8515515520003</v>
      </c>
      <c r="V10" s="177">
        <f t="shared" si="16"/>
        <v>59.170823999999996</v>
      </c>
      <c r="W10" s="179">
        <f>W5-W9</f>
        <v>22752.447476040004</v>
      </c>
      <c r="X10" s="177">
        <f t="shared" ref="X10" si="28">W10/W$5*100</f>
        <v>55.933603447696036</v>
      </c>
      <c r="Y10" s="182">
        <f>Y5-Y9</f>
        <v>21303.524000000005</v>
      </c>
      <c r="Z10" s="182">
        <f t="shared" si="3"/>
        <v>49.703053549097561</v>
      </c>
      <c r="AA10" s="179">
        <f>AA5-AA9</f>
        <v>49440.971999999994</v>
      </c>
      <c r="AB10" s="177">
        <f t="shared" si="18"/>
        <v>51.016357107478946</v>
      </c>
      <c r="AC10" s="179">
        <f>AC5-AC9</f>
        <v>14267.187</v>
      </c>
      <c r="AD10" s="177">
        <f t="shared" si="18"/>
        <v>63.3</v>
      </c>
      <c r="AE10" s="182">
        <f>AE5-AE9</f>
        <v>248469.91199999998</v>
      </c>
      <c r="AF10" s="182">
        <f t="shared" si="4"/>
        <v>57.999999999999993</v>
      </c>
      <c r="AG10" s="177">
        <f>AG5-AG9</f>
        <v>29531.001800000005</v>
      </c>
      <c r="AH10" s="177">
        <f t="shared" si="19"/>
        <v>72.214238413834934</v>
      </c>
      <c r="AI10" s="182">
        <f>AI5-AI9</f>
        <v>18365.691696000002</v>
      </c>
      <c r="AJ10" s="182">
        <f t="shared" si="5"/>
        <v>50.329649380117722</v>
      </c>
      <c r="AK10" s="182">
        <f>AK5-AK9</f>
        <v>28988.126880000003</v>
      </c>
      <c r="AL10" s="182">
        <f t="shared" si="6"/>
        <v>77.069845584481882</v>
      </c>
      <c r="AM10" s="182">
        <f>AM5-AM9</f>
        <v>9452.092224</v>
      </c>
      <c r="AN10" s="182">
        <f t="shared" si="7"/>
        <v>53.575999999999993</v>
      </c>
      <c r="AO10" s="182">
        <f>AO5-AO9</f>
        <v>34043.046399999999</v>
      </c>
      <c r="AP10" s="182">
        <f t="shared" si="8"/>
        <v>71.871720037832731</v>
      </c>
      <c r="AQ10" s="182">
        <f>AQ5-AQ9</f>
        <v>19483.667009999997</v>
      </c>
      <c r="AR10" s="182">
        <f t="shared" si="9"/>
        <v>67.440868847352021</v>
      </c>
      <c r="AS10" s="179">
        <f>AS5-AS9</f>
        <v>29576.355348000005</v>
      </c>
      <c r="AT10" s="177">
        <f t="shared" si="20"/>
        <v>72.325144638769885</v>
      </c>
      <c r="AU10" s="179">
        <f>AU5-AU9</f>
        <v>9219.0169999999998</v>
      </c>
      <c r="AV10" s="177">
        <f t="shared" si="21"/>
        <v>56.32341764418377</v>
      </c>
      <c r="AW10" s="182">
        <f>AW5-AW9</f>
        <v>15090.088200000002</v>
      </c>
      <c r="AX10" s="182">
        <f t="shared" si="10"/>
        <v>54.915382767806456</v>
      </c>
      <c r="AY10" s="179">
        <f>AY5-AY9</f>
        <v>24671.088</v>
      </c>
      <c r="AZ10" s="177">
        <f t="shared" si="22"/>
        <v>74.530505709624791</v>
      </c>
      <c r="BA10" s="177">
        <f>BA5-BA9</f>
        <v>37568.481968</v>
      </c>
      <c r="BB10" s="177">
        <f t="shared" si="23"/>
        <v>62.218427414974087</v>
      </c>
      <c r="BC10" s="183">
        <f>BC5-BC9</f>
        <v>12320.41866999997</v>
      </c>
      <c r="BD10" s="177">
        <f t="shared" si="24"/>
        <v>74.45823904996449</v>
      </c>
      <c r="BE10" s="178">
        <f>BE5-BE9</f>
        <v>276580.59167999995</v>
      </c>
      <c r="BF10" s="180">
        <f t="shared" si="25"/>
        <v>71.029999999999987</v>
      </c>
      <c r="BG10" s="137"/>
      <c r="BH10" s="135"/>
      <c r="BI10" s="135"/>
      <c r="BJ10" s="138"/>
      <c r="BK10" s="138"/>
      <c r="BL10" s="138"/>
      <c r="BM10" s="138"/>
      <c r="BN10" s="138"/>
      <c r="BO10" s="138"/>
      <c r="BP10" s="138"/>
      <c r="BQ10" s="138"/>
      <c r="BR10" s="138"/>
      <c r="BS10" s="138"/>
      <c r="BT10" s="135"/>
      <c r="BU10" s="135"/>
    </row>
    <row r="11" spans="1:85" ht="25.15" customHeight="1">
      <c r="B11" s="188" t="s">
        <v>206</v>
      </c>
      <c r="C11" s="374">
        <v>19</v>
      </c>
      <c r="D11" s="374"/>
      <c r="E11" s="374">
        <v>8</v>
      </c>
      <c r="F11" s="374"/>
      <c r="G11" s="374">
        <v>7</v>
      </c>
      <c r="H11" s="374"/>
      <c r="I11" s="374">
        <v>5</v>
      </c>
      <c r="J11" s="374"/>
      <c r="K11" s="374">
        <v>18</v>
      </c>
      <c r="L11" s="374"/>
      <c r="M11" s="374">
        <v>16</v>
      </c>
      <c r="N11" s="374"/>
      <c r="O11" s="374">
        <v>13</v>
      </c>
      <c r="P11" s="374"/>
      <c r="Q11" s="374">
        <v>22</v>
      </c>
      <c r="R11" s="374"/>
      <c r="S11" s="374">
        <v>1</v>
      </c>
      <c r="T11" s="374"/>
      <c r="U11" s="374">
        <v>15</v>
      </c>
      <c r="V11" s="374"/>
      <c r="W11" s="374">
        <v>10</v>
      </c>
      <c r="X11" s="374"/>
      <c r="Y11" s="374">
        <v>2</v>
      </c>
      <c r="Z11" s="374"/>
      <c r="AA11" s="374">
        <v>4</v>
      </c>
      <c r="AB11" s="374"/>
      <c r="AC11" s="374">
        <v>20</v>
      </c>
      <c r="AD11" s="374"/>
      <c r="AE11" s="374">
        <v>12</v>
      </c>
      <c r="AF11" s="374"/>
      <c r="AG11" s="374">
        <v>25</v>
      </c>
      <c r="AH11" s="374"/>
      <c r="AI11" s="374">
        <v>3</v>
      </c>
      <c r="AJ11" s="374"/>
      <c r="AK11" s="374">
        <v>28</v>
      </c>
      <c r="AL11" s="374"/>
      <c r="AM11" s="374">
        <v>6</v>
      </c>
      <c r="AN11" s="374"/>
      <c r="AO11" s="374">
        <v>24</v>
      </c>
      <c r="AP11" s="374"/>
      <c r="AQ11" s="374">
        <v>21</v>
      </c>
      <c r="AR11" s="374"/>
      <c r="AS11" s="374">
        <v>14</v>
      </c>
      <c r="AT11" s="374"/>
      <c r="AU11" s="374">
        <v>11</v>
      </c>
      <c r="AV11" s="374"/>
      <c r="AW11" s="374">
        <v>9</v>
      </c>
      <c r="AX11" s="374"/>
      <c r="AY11" s="374">
        <v>27</v>
      </c>
      <c r="AZ11" s="374"/>
      <c r="BA11" s="374">
        <v>17</v>
      </c>
      <c r="BB11" s="374"/>
      <c r="BC11" s="374">
        <v>26</v>
      </c>
      <c r="BD11" s="374"/>
      <c r="BE11" s="374">
        <v>23</v>
      </c>
      <c r="BF11" s="374"/>
      <c r="BG11" s="142"/>
    </row>
    <row r="12" spans="1:85" ht="18.399999999999999" customHeight="1">
      <c r="A12" s="143" t="s">
        <v>157</v>
      </c>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7"/>
      <c r="AV12" s="377"/>
      <c r="AW12" s="377"/>
      <c r="AX12" s="377"/>
      <c r="AY12" s="377"/>
      <c r="AZ12" s="377"/>
      <c r="BA12" s="377"/>
      <c r="BB12" s="377"/>
      <c r="BC12" s="377"/>
      <c r="BD12" s="377"/>
      <c r="BE12" s="377"/>
      <c r="BF12" s="377"/>
      <c r="BG12" s="142"/>
    </row>
    <row r="13" spans="1:85" ht="53.65" customHeight="1">
      <c r="A13" s="145">
        <v>42339</v>
      </c>
      <c r="B13" s="146" t="s">
        <v>254</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c r="AY13" s="146"/>
      <c r="AZ13" s="146"/>
      <c r="BA13" s="146"/>
      <c r="BB13" s="146"/>
      <c r="BC13" s="146"/>
      <c r="BD13" s="146"/>
      <c r="BE13" s="146"/>
      <c r="BF13" s="146"/>
      <c r="BG13" s="142"/>
    </row>
    <row r="14" spans="1:85" ht="21.4" customHeight="1">
      <c r="A14" s="147" t="s">
        <v>158</v>
      </c>
      <c r="B14" s="380" t="s">
        <v>207</v>
      </c>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c r="AS14" s="380"/>
      <c r="AT14" s="380"/>
      <c r="AU14" s="380"/>
      <c r="AV14" s="380"/>
      <c r="AW14" s="380"/>
      <c r="AX14" s="380"/>
      <c r="AY14" s="380"/>
      <c r="AZ14" s="380"/>
      <c r="BA14" s="380"/>
      <c r="BB14" s="380"/>
      <c r="BC14" s="380"/>
      <c r="BD14" s="380"/>
      <c r="BE14" s="380"/>
      <c r="BF14" s="380"/>
      <c r="BG14" s="142"/>
    </row>
    <row r="15" spans="1:85" ht="36" customHeight="1">
      <c r="A15" s="148" t="s">
        <v>159</v>
      </c>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144"/>
      <c r="BH15" s="144"/>
      <c r="BI15" s="144"/>
      <c r="BJ15" s="144"/>
      <c r="BK15" s="144"/>
      <c r="BL15" s="144"/>
      <c r="BM15" s="144"/>
      <c r="BN15" s="144"/>
      <c r="BO15" s="144"/>
      <c r="BP15" s="144"/>
      <c r="BQ15" s="144"/>
      <c r="BR15" s="144"/>
      <c r="BS15" s="144"/>
      <c r="BT15" s="144"/>
      <c r="BU15" s="144"/>
      <c r="BV15" s="144"/>
      <c r="BW15" s="144"/>
      <c r="BX15" s="144"/>
      <c r="BY15" s="138"/>
      <c r="BZ15" s="138"/>
      <c r="CA15" s="138"/>
      <c r="CB15" s="138"/>
      <c r="CC15" s="138"/>
      <c r="CD15" s="138"/>
      <c r="CE15" s="138"/>
      <c r="CF15" s="138"/>
      <c r="CG15" s="138"/>
    </row>
    <row r="16" spans="1:85" ht="15">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6"/>
      <c r="AG16" s="144"/>
      <c r="AH16" s="144"/>
      <c r="AI16" s="144"/>
      <c r="AJ16" s="144"/>
      <c r="AK16" s="144"/>
      <c r="AL16" s="144"/>
      <c r="AM16" s="144"/>
      <c r="AN16" s="144"/>
      <c r="AO16" s="144"/>
      <c r="AP16" s="144"/>
      <c r="AQ16" s="144"/>
      <c r="AR16" s="144"/>
      <c r="AS16" s="144"/>
      <c r="AT16" s="144"/>
      <c r="AU16" s="144"/>
      <c r="AV16" s="144"/>
      <c r="AW16" s="144"/>
      <c r="AX16" s="144"/>
      <c r="AY16" s="144"/>
      <c r="AZ16"/>
      <c r="BA16"/>
      <c r="BB16"/>
      <c r="BC16"/>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38"/>
      <c r="BZ16" s="138"/>
      <c r="CA16" s="138"/>
      <c r="CB16" s="138"/>
      <c r="CC16" s="138"/>
      <c r="CD16" s="138"/>
      <c r="CE16" s="138"/>
      <c r="CF16" s="138"/>
      <c r="CG16" s="138"/>
    </row>
    <row r="17" spans="1:85" ht="15">
      <c r="A17" s="144"/>
      <c r="B17" s="144"/>
      <c r="C17" s="144"/>
      <c r="D17" s="144"/>
      <c r="E17" s="144"/>
      <c r="F17" s="186"/>
      <c r="G17" s="186"/>
      <c r="H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c r="BA17"/>
      <c r="BB17"/>
      <c r="BC17"/>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38"/>
      <c r="BZ17" s="138"/>
      <c r="CA17" s="138"/>
      <c r="CB17" s="138"/>
      <c r="CC17" s="138"/>
      <c r="CD17" s="138"/>
      <c r="CE17" s="138"/>
      <c r="CF17" s="138"/>
      <c r="CG17" s="138"/>
    </row>
    <row r="18" spans="1:85" ht="15">
      <c r="A18" s="144"/>
      <c r="B18" s="144"/>
      <c r="C18" s="144"/>
      <c r="D18" s="144"/>
      <c r="E18" s="144"/>
      <c r="F18" s="186"/>
      <c r="G18" s="186"/>
      <c r="H18" s="144"/>
      <c r="K18" s="144"/>
      <c r="L18" s="144"/>
      <c r="M18" s="144"/>
      <c r="N18" s="18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c r="BA18"/>
      <c r="BB18"/>
      <c r="BC18"/>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38"/>
      <c r="BZ18" s="138"/>
      <c r="CA18" s="138"/>
      <c r="CB18" s="138"/>
      <c r="CC18" s="138"/>
      <c r="CD18" s="138"/>
      <c r="CE18" s="138"/>
      <c r="CF18" s="138"/>
      <c r="CG18" s="138"/>
    </row>
    <row r="19" spans="1:85" ht="15">
      <c r="A19" s="144"/>
      <c r="B19" s="144"/>
      <c r="C19" s="144"/>
      <c r="D19" s="144"/>
      <c r="E19" s="144"/>
      <c r="F19" s="186"/>
      <c r="G19" s="186"/>
      <c r="H19" s="144"/>
      <c r="I19" s="144"/>
      <c r="J19" s="144"/>
      <c r="K19" s="184"/>
      <c r="L19" s="144"/>
      <c r="M19" s="144"/>
      <c r="N19" s="18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c r="BA19"/>
      <c r="BB19"/>
      <c r="BC19"/>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38"/>
      <c r="BZ19" s="138"/>
      <c r="CA19" s="135"/>
      <c r="CB19" s="138"/>
      <c r="CC19" s="138"/>
      <c r="CD19" s="138"/>
      <c r="CE19" s="138"/>
      <c r="CF19" s="135"/>
      <c r="CG19" s="138"/>
    </row>
    <row r="20" spans="1:85" ht="15">
      <c r="A20" s="144"/>
      <c r="B20" s="144"/>
      <c r="C20" s="144"/>
      <c r="D20" s="144"/>
      <c r="E20" s="144"/>
      <c r="F20" s="371"/>
      <c r="G20" s="373"/>
      <c r="H20" s="144"/>
      <c r="I20" s="144"/>
      <c r="J20" s="144"/>
      <c r="K20" s="184"/>
      <c r="L20" s="144"/>
      <c r="M20" s="144"/>
      <c r="N20" s="18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c r="BA20"/>
      <c r="BB20"/>
      <c r="BC20"/>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35"/>
      <c r="BZ20" s="135"/>
      <c r="CA20" s="135"/>
      <c r="CB20" s="138"/>
      <c r="CC20" s="138"/>
      <c r="CD20" s="135"/>
      <c r="CE20" s="135"/>
      <c r="CF20" s="135"/>
      <c r="CG20" s="138"/>
    </row>
    <row r="21" spans="1:85" ht="15">
      <c r="A21" s="144"/>
      <c r="B21" s="144"/>
      <c r="C21" s="144"/>
      <c r="D21" s="144"/>
      <c r="E21" s="144"/>
      <c r="F21" s="372"/>
      <c r="G21" s="372"/>
      <c r="H21" s="144"/>
      <c r="K21" s="184"/>
      <c r="L21" s="144"/>
      <c r="M21" s="144"/>
      <c r="N21" s="184"/>
      <c r="O21" s="18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c r="BA21"/>
      <c r="BB21"/>
      <c r="BC21"/>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35"/>
      <c r="BZ21" s="135"/>
      <c r="CA21" s="135"/>
      <c r="CB21" s="135"/>
      <c r="CC21" s="135"/>
      <c r="CD21" s="135"/>
      <c r="CE21" s="135"/>
      <c r="CF21" s="135"/>
      <c r="CG21" s="135"/>
    </row>
    <row r="22" spans="1:85" ht="15">
      <c r="A22" s="144"/>
      <c r="B22" s="144"/>
      <c r="C22" s="144"/>
      <c r="D22" s="144"/>
      <c r="E22" s="144"/>
      <c r="F22" s="371"/>
      <c r="G22" s="373"/>
      <c r="H22" s="144"/>
      <c r="I22" s="144"/>
      <c r="J22" s="144"/>
      <c r="K22" s="184"/>
      <c r="L22" s="144"/>
      <c r="M22" s="144"/>
      <c r="N22" s="184"/>
      <c r="O22" s="18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c r="BA22"/>
      <c r="BB22"/>
      <c r="BC22"/>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35"/>
      <c r="BZ22" s="135"/>
      <c r="CA22" s="135"/>
      <c r="CB22" s="135"/>
      <c r="CC22" s="135"/>
      <c r="CD22" s="135"/>
      <c r="CE22" s="135"/>
      <c r="CF22" s="135"/>
      <c r="CG22" s="135"/>
    </row>
    <row r="23" spans="1:85" ht="15">
      <c r="A23" s="144"/>
      <c r="B23" s="144"/>
      <c r="C23" s="144"/>
      <c r="D23" s="144"/>
      <c r="E23" s="144"/>
      <c r="F23" s="372"/>
      <c r="G23" s="372"/>
      <c r="H23" s="144"/>
      <c r="I23" s="144"/>
      <c r="J23" s="144"/>
      <c r="K23" s="184"/>
      <c r="L23" s="144"/>
      <c r="M23" s="144"/>
      <c r="N23" s="184"/>
      <c r="O23" s="18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c r="BA23"/>
      <c r="BB23"/>
      <c r="BC23"/>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35"/>
      <c r="BZ23" s="135"/>
      <c r="CA23" s="135"/>
      <c r="CB23" s="135"/>
      <c r="CC23" s="135"/>
      <c r="CD23" s="135"/>
      <c r="CE23" s="135"/>
      <c r="CF23" s="135"/>
      <c r="CG23" s="135"/>
    </row>
    <row r="24" spans="1:85" ht="15">
      <c r="A24" s="144"/>
      <c r="B24" s="144"/>
      <c r="C24" s="144"/>
      <c r="D24" s="144"/>
      <c r="E24" s="144"/>
      <c r="F24" s="371"/>
      <c r="G24" s="373"/>
      <c r="H24" s="144"/>
      <c r="I24" s="144"/>
      <c r="J24" s="144"/>
      <c r="K24" s="184"/>
      <c r="L24" s="144"/>
      <c r="M24" s="144"/>
      <c r="N24" s="184"/>
      <c r="O24" s="18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c r="BA24"/>
      <c r="BB24"/>
      <c r="BC2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35"/>
      <c r="BZ24" s="135"/>
      <c r="CA24" s="135"/>
      <c r="CB24" s="135"/>
      <c r="CC24" s="135"/>
      <c r="CD24" s="135"/>
      <c r="CE24" s="135"/>
      <c r="CF24" s="135"/>
      <c r="CG24" s="135"/>
    </row>
    <row r="25" spans="1:85" ht="15">
      <c r="A25" s="144"/>
      <c r="B25" s="144"/>
      <c r="C25" s="144"/>
      <c r="D25" s="144"/>
      <c r="E25" s="144"/>
      <c r="F25" s="372"/>
      <c r="G25" s="372"/>
      <c r="H25" s="144"/>
      <c r="I25" s="144"/>
      <c r="J25" s="144"/>
      <c r="K25" s="184"/>
      <c r="L25" s="144"/>
      <c r="M25" s="144"/>
      <c r="N25" s="184"/>
      <c r="O25" s="18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c r="BA25"/>
      <c r="BB25"/>
      <c r="BC25"/>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35"/>
      <c r="BZ25" s="135"/>
      <c r="CA25" s="135"/>
      <c r="CB25" s="135"/>
      <c r="CC25" s="135"/>
      <c r="CD25" s="135"/>
      <c r="CE25" s="135"/>
      <c r="CF25" s="135"/>
      <c r="CG25" s="135"/>
    </row>
    <row r="26" spans="1:85" ht="15">
      <c r="A26" s="144"/>
      <c r="B26" s="144"/>
      <c r="C26" s="144"/>
      <c r="D26" s="144"/>
      <c r="E26" s="144"/>
      <c r="F26" s="371"/>
      <c r="G26" s="373"/>
      <c r="H26" s="144"/>
      <c r="I26" s="144"/>
      <c r="J26" s="144"/>
      <c r="K26" s="184"/>
      <c r="L26" s="144"/>
      <c r="M26" s="135"/>
      <c r="N26" s="184"/>
      <c r="O26" s="18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c r="BA26"/>
      <c r="BB26"/>
      <c r="BC26"/>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35"/>
      <c r="BZ26" s="135"/>
      <c r="CA26" s="135"/>
      <c r="CB26" s="135"/>
      <c r="CC26" s="135"/>
      <c r="CD26" s="135"/>
      <c r="CE26" s="135"/>
      <c r="CF26" s="135"/>
      <c r="CG26" s="135"/>
    </row>
    <row r="27" spans="1:85" ht="15">
      <c r="A27" s="144"/>
      <c r="B27" s="144"/>
      <c r="C27" s="144"/>
      <c r="D27" s="144"/>
      <c r="E27" s="144"/>
      <c r="F27" s="372"/>
      <c r="G27" s="372"/>
      <c r="H27" s="144"/>
      <c r="K27" s="184"/>
      <c r="L27" s="144"/>
      <c r="N27" s="184"/>
      <c r="O27" s="18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c r="BA27"/>
      <c r="BB27"/>
      <c r="BC27"/>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35"/>
      <c r="BZ27" s="135"/>
      <c r="CA27" s="135"/>
      <c r="CB27" s="135"/>
      <c r="CC27" s="135"/>
      <c r="CD27" s="135"/>
      <c r="CE27" s="135"/>
      <c r="CF27" s="135"/>
      <c r="CG27" s="135"/>
    </row>
    <row r="28" spans="1:85" ht="15">
      <c r="A28" s="144"/>
      <c r="B28" s="144"/>
      <c r="C28" s="144"/>
      <c r="D28" s="144"/>
      <c r="E28" s="144"/>
      <c r="F28" s="371"/>
      <c r="G28" s="373"/>
      <c r="H28" s="144"/>
      <c r="I28" s="144"/>
      <c r="J28" s="144"/>
      <c r="K28" s="184"/>
      <c r="L28" s="144"/>
      <c r="M28" s="144"/>
      <c r="N28" s="184"/>
      <c r="O28" s="18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c r="BA28"/>
      <c r="BB28"/>
      <c r="BC28"/>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35"/>
      <c r="BZ28" s="135"/>
      <c r="CA28" s="135"/>
      <c r="CB28" s="135"/>
      <c r="CC28" s="135"/>
      <c r="CD28" s="135"/>
      <c r="CE28" s="135"/>
      <c r="CF28" s="135"/>
      <c r="CG28" s="135"/>
    </row>
    <row r="29" spans="1:85" ht="15">
      <c r="A29" s="144"/>
      <c r="B29" s="144"/>
      <c r="C29" s="144"/>
      <c r="D29" s="144"/>
      <c r="E29" s="144"/>
      <c r="F29" s="372"/>
      <c r="G29" s="372"/>
      <c r="H29" s="144"/>
      <c r="I29" s="144"/>
      <c r="J29" s="144"/>
      <c r="K29" s="184"/>
      <c r="L29" s="144"/>
      <c r="M29" s="144"/>
      <c r="N29" s="184"/>
      <c r="O29" s="18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c r="BA29"/>
      <c r="BB29"/>
      <c r="BC29"/>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35"/>
      <c r="BZ29" s="135"/>
      <c r="CA29" s="135"/>
      <c r="CB29" s="135"/>
      <c r="CC29" s="135"/>
      <c r="CD29" s="135"/>
      <c r="CE29" s="135"/>
      <c r="CF29" s="135"/>
      <c r="CG29" s="135"/>
    </row>
    <row r="30" spans="1:85" ht="15">
      <c r="A30" s="144"/>
      <c r="B30" s="144"/>
      <c r="C30" s="144"/>
      <c r="D30" s="144"/>
      <c r="E30" s="144"/>
      <c r="F30" s="371"/>
      <c r="G30" s="373"/>
      <c r="H30" s="144"/>
      <c r="I30" s="144"/>
      <c r="J30" s="144"/>
      <c r="K30" s="184"/>
      <c r="L30" s="144"/>
      <c r="N30" s="184"/>
      <c r="O30" s="18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c r="BA30"/>
      <c r="BB30"/>
      <c r="BC30"/>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35"/>
      <c r="BZ30" s="135"/>
      <c r="CA30" s="135"/>
      <c r="CB30" s="135"/>
      <c r="CC30" s="135"/>
      <c r="CD30" s="135"/>
      <c r="CE30" s="135"/>
      <c r="CF30" s="135"/>
      <c r="CG30" s="135"/>
    </row>
    <row r="31" spans="1:85" ht="15">
      <c r="A31" s="144"/>
      <c r="B31" s="144"/>
      <c r="C31" s="144"/>
      <c r="D31" s="144"/>
      <c r="E31" s="144"/>
      <c r="F31" s="372"/>
      <c r="G31" s="372"/>
      <c r="H31" s="144"/>
      <c r="I31" s="144"/>
      <c r="J31" s="144"/>
      <c r="K31" s="184"/>
      <c r="L31" s="144"/>
      <c r="M31" s="144"/>
      <c r="N31" s="184"/>
      <c r="O31" s="18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c r="BA31"/>
      <c r="BB31"/>
      <c r="BC31"/>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35"/>
      <c r="BZ31" s="135"/>
      <c r="CA31" s="135"/>
      <c r="CB31" s="135"/>
      <c r="CC31" s="135"/>
      <c r="CD31" s="135"/>
      <c r="CE31" s="135"/>
      <c r="CF31" s="135"/>
      <c r="CG31" s="135"/>
    </row>
    <row r="32" spans="1:85" ht="15">
      <c r="A32" s="144"/>
      <c r="B32" s="144"/>
      <c r="C32" s="144"/>
      <c r="D32" s="144"/>
      <c r="E32" s="144"/>
      <c r="F32" s="371"/>
      <c r="G32" s="373"/>
      <c r="H32" s="144"/>
      <c r="I32" s="135"/>
      <c r="J32" s="135"/>
      <c r="K32" s="184"/>
      <c r="L32" s="144"/>
      <c r="M32" s="144"/>
      <c r="N32" s="184"/>
      <c r="O32" s="18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c r="BA32"/>
      <c r="BB32"/>
      <c r="BC32"/>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35"/>
      <c r="BZ32" s="135"/>
      <c r="CA32" s="135"/>
      <c r="CB32" s="135"/>
      <c r="CC32" s="135"/>
      <c r="CD32" s="135"/>
      <c r="CE32" s="135"/>
      <c r="CF32" s="135"/>
      <c r="CG32" s="135"/>
    </row>
    <row r="33" spans="1:85" ht="15">
      <c r="A33" s="144"/>
      <c r="B33" s="144"/>
      <c r="C33" s="144"/>
      <c r="D33" s="144"/>
      <c r="E33" s="144"/>
      <c r="F33" s="372"/>
      <c r="G33" s="372"/>
      <c r="H33" s="144"/>
      <c r="I33" s="144"/>
      <c r="J33" s="144"/>
      <c r="K33" s="184"/>
      <c r="L33" s="144"/>
      <c r="M33" s="144"/>
      <c r="N33" s="184"/>
      <c r="O33" s="18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c r="BA33"/>
      <c r="BB33"/>
      <c r="BC33"/>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35"/>
      <c r="BZ33" s="135"/>
      <c r="CA33" s="135"/>
      <c r="CB33" s="135"/>
      <c r="CC33" s="135"/>
      <c r="CD33" s="135"/>
      <c r="CE33" s="135"/>
      <c r="CF33" s="135"/>
      <c r="CG33" s="135"/>
    </row>
    <row r="34" spans="1:85" ht="15">
      <c r="A34" s="144"/>
      <c r="B34" s="144"/>
      <c r="C34" s="144"/>
      <c r="D34" s="144"/>
      <c r="E34" s="144"/>
      <c r="F34" s="371"/>
      <c r="G34" s="373"/>
      <c r="H34" s="144"/>
      <c r="I34" s="144"/>
      <c r="J34" s="144"/>
      <c r="K34" s="184"/>
      <c r="L34" s="144"/>
      <c r="M34" s="144"/>
      <c r="N34" s="184"/>
      <c r="O34" s="18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c r="BA34"/>
      <c r="BB34"/>
      <c r="BC3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35"/>
      <c r="BZ34" s="135"/>
      <c r="CA34" s="135"/>
      <c r="CB34" s="135"/>
      <c r="CC34" s="135"/>
      <c r="CD34" s="135"/>
      <c r="CE34" s="135"/>
      <c r="CF34" s="135"/>
      <c r="CG34" s="135"/>
    </row>
    <row r="35" spans="1:85" ht="15">
      <c r="A35" s="144"/>
      <c r="B35" s="144"/>
      <c r="C35" s="144"/>
      <c r="D35" s="144"/>
      <c r="E35" s="144"/>
      <c r="F35" s="372"/>
      <c r="G35" s="372"/>
      <c r="H35" s="144"/>
      <c r="I35" s="135"/>
      <c r="J35" s="135"/>
      <c r="K35" s="184"/>
      <c r="L35" s="144"/>
      <c r="N35" s="184"/>
      <c r="O35" s="18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c r="BA35"/>
      <c r="BB35"/>
      <c r="BC35"/>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35"/>
      <c r="BZ35" s="135"/>
      <c r="CA35" s="135"/>
      <c r="CB35" s="135"/>
      <c r="CC35" s="135"/>
      <c r="CD35" s="135"/>
      <c r="CE35" s="135"/>
      <c r="CF35" s="135"/>
      <c r="CG35" s="135"/>
    </row>
    <row r="36" spans="1:85" ht="15">
      <c r="A36" s="144"/>
      <c r="B36" s="144"/>
      <c r="C36" s="144"/>
      <c r="D36" s="144"/>
      <c r="E36" s="144"/>
      <c r="F36" s="371"/>
      <c r="G36" s="373"/>
      <c r="H36" s="144"/>
      <c r="I36" s="144"/>
      <c r="J36" s="144"/>
      <c r="K36" s="184"/>
      <c r="L36" s="144"/>
      <c r="M36" s="144"/>
      <c r="N36" s="184"/>
      <c r="O36" s="18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c r="BA36"/>
      <c r="BB36"/>
      <c r="BC36"/>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35"/>
      <c r="BZ36" s="135"/>
      <c r="CA36" s="135"/>
      <c r="CB36" s="135"/>
      <c r="CC36" s="135"/>
      <c r="CD36" s="135"/>
      <c r="CE36" s="135"/>
      <c r="CF36" s="135"/>
      <c r="CG36" s="135"/>
    </row>
    <row r="37" spans="1:85" ht="15">
      <c r="A37" s="144"/>
      <c r="B37" s="144"/>
      <c r="C37" s="144"/>
      <c r="D37" s="144"/>
      <c r="E37" s="144"/>
      <c r="F37" s="372"/>
      <c r="G37" s="372"/>
      <c r="H37" s="144"/>
      <c r="I37" s="144"/>
      <c r="J37" s="144"/>
      <c r="K37" s="184"/>
      <c r="L37" s="144"/>
      <c r="M37" s="144"/>
      <c r="N37" s="184"/>
      <c r="O37" s="18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c r="BA37"/>
      <c r="BB37"/>
      <c r="BC37"/>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35"/>
      <c r="BZ37" s="135"/>
      <c r="CA37" s="135"/>
      <c r="CB37" s="135"/>
      <c r="CC37" s="135"/>
      <c r="CD37" s="135"/>
      <c r="CE37" s="135"/>
      <c r="CF37" s="135"/>
      <c r="CG37" s="135"/>
    </row>
    <row r="38" spans="1:85" ht="15">
      <c r="A38" s="144"/>
      <c r="B38" s="144"/>
      <c r="C38" s="144"/>
      <c r="D38" s="144"/>
      <c r="E38" s="144"/>
      <c r="F38" s="371"/>
      <c r="G38" s="373"/>
      <c r="H38" s="144"/>
      <c r="I38" s="144"/>
      <c r="J38" s="144"/>
      <c r="K38" s="184"/>
      <c r="L38" s="144"/>
      <c r="M38" s="135"/>
      <c r="N38" s="184"/>
      <c r="O38" s="18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c r="BA38"/>
      <c r="BB38"/>
      <c r="BC38"/>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0"/>
      <c r="BZ38" s="140"/>
      <c r="CA38" s="149"/>
      <c r="CB38" s="141"/>
      <c r="CC38" s="141"/>
      <c r="CD38" s="140"/>
      <c r="CE38" s="140"/>
      <c r="CF38" s="149"/>
      <c r="CG38" s="141"/>
    </row>
    <row r="39" spans="1:85" ht="15">
      <c r="A39" s="144"/>
      <c r="B39" s="144"/>
      <c r="C39" s="144"/>
      <c r="D39" s="144"/>
      <c r="E39" s="144"/>
      <c r="F39" s="372"/>
      <c r="G39" s="372"/>
      <c r="H39" s="144"/>
      <c r="I39" s="144"/>
      <c r="J39" s="144"/>
      <c r="K39" s="184"/>
      <c r="L39" s="144"/>
      <c r="M39" s="144"/>
      <c r="N39" s="184"/>
      <c r="O39" s="18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c r="BA39"/>
      <c r="BB39"/>
      <c r="BC39"/>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50"/>
      <c r="BZ39" s="150"/>
      <c r="CA39" s="138"/>
      <c r="CB39" s="135"/>
      <c r="CC39" s="135"/>
      <c r="CD39" s="150"/>
      <c r="CE39" s="150"/>
      <c r="CF39" s="138"/>
      <c r="CG39" s="135"/>
    </row>
    <row r="40" spans="1:85" ht="15">
      <c r="A40" s="144"/>
      <c r="B40" s="144"/>
      <c r="C40" s="144"/>
      <c r="D40" s="144"/>
      <c r="E40" s="144"/>
      <c r="F40" s="371"/>
      <c r="G40" s="373"/>
      <c r="H40" s="144"/>
      <c r="I40" s="144"/>
      <c r="J40" s="144"/>
      <c r="K40" s="184"/>
      <c r="L40" s="144"/>
      <c r="N40" s="184"/>
      <c r="O40" s="18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c r="BA40"/>
      <c r="BB40"/>
      <c r="BC40"/>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35"/>
      <c r="BZ40" s="135"/>
      <c r="CA40" s="138"/>
      <c r="CB40" s="135"/>
      <c r="CC40" s="135"/>
      <c r="CD40" s="135"/>
      <c r="CE40" s="135"/>
      <c r="CF40" s="138"/>
      <c r="CG40" s="135"/>
    </row>
    <row r="41" spans="1:85" ht="15">
      <c r="A41" s="144"/>
      <c r="B41" s="144"/>
      <c r="C41" s="144"/>
      <c r="D41" s="144"/>
      <c r="E41" s="144"/>
      <c r="F41" s="372"/>
      <c r="G41" s="372"/>
      <c r="H41" s="144"/>
      <c r="I41" s="144"/>
      <c r="J41" s="144"/>
      <c r="K41" s="184"/>
      <c r="L41" s="144"/>
      <c r="M41" s="144"/>
      <c r="N41" s="184"/>
      <c r="O41" s="18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c r="BA41"/>
      <c r="BB41"/>
      <c r="BC41"/>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375"/>
      <c r="BZ41" s="375"/>
      <c r="CA41" s="138"/>
      <c r="CB41" s="379"/>
      <c r="CC41" s="379"/>
      <c r="CD41" s="375"/>
      <c r="CE41" s="375"/>
      <c r="CF41" s="138"/>
      <c r="CG41" s="151"/>
    </row>
    <row r="42" spans="1:85" ht="15">
      <c r="A42" s="144"/>
      <c r="B42" s="144"/>
      <c r="C42" s="144"/>
      <c r="D42" s="144"/>
      <c r="E42" s="144"/>
      <c r="F42" s="371"/>
      <c r="G42" s="373"/>
      <c r="H42" s="144"/>
      <c r="I42" s="144"/>
      <c r="J42" s="144"/>
      <c r="K42" s="184"/>
      <c r="L42" s="144"/>
      <c r="M42" s="144"/>
      <c r="N42" s="184"/>
      <c r="O42" s="18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c r="BA42"/>
      <c r="BB42"/>
      <c r="BC42"/>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38"/>
      <c r="BZ42" s="138"/>
      <c r="CA42" s="138"/>
      <c r="CB42" s="379"/>
      <c r="CC42" s="379"/>
      <c r="CD42" s="138"/>
      <c r="CE42" s="138"/>
      <c r="CF42" s="138"/>
      <c r="CG42" s="151"/>
    </row>
    <row r="43" spans="1:85" ht="15">
      <c r="A43" s="144"/>
      <c r="B43" s="144"/>
      <c r="C43" s="144"/>
      <c r="D43" s="144"/>
      <c r="E43" s="144"/>
      <c r="F43" s="372"/>
      <c r="G43" s="372"/>
      <c r="H43" s="144"/>
      <c r="I43" s="144"/>
      <c r="J43" s="144"/>
      <c r="K43" s="184"/>
      <c r="L43" s="144"/>
      <c r="N43" s="184"/>
      <c r="O43" s="18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c r="BA43"/>
      <c r="BB43"/>
      <c r="BC43"/>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38"/>
      <c r="BZ43" s="138"/>
      <c r="CA43" s="138"/>
      <c r="CB43" s="138"/>
      <c r="CC43" s="138"/>
      <c r="CD43" s="138"/>
      <c r="CE43" s="138"/>
      <c r="CF43" s="138"/>
      <c r="CG43" s="138"/>
    </row>
    <row r="44" spans="1:85" ht="15">
      <c r="A44" s="144"/>
      <c r="B44" s="144"/>
      <c r="C44" s="144"/>
      <c r="D44" s="144"/>
      <c r="E44" s="144"/>
      <c r="F44" s="371"/>
      <c r="G44" s="373"/>
      <c r="H44" s="144"/>
      <c r="I44" s="144"/>
      <c r="J44" s="144"/>
      <c r="K44" s="144"/>
      <c r="L44" s="144"/>
      <c r="N44" s="184"/>
      <c r="O44" s="18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c r="BA44"/>
      <c r="BB44"/>
      <c r="BC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38"/>
      <c r="BZ44" s="138"/>
      <c r="CA44" s="138"/>
      <c r="CB44" s="138"/>
      <c r="CC44" s="138"/>
      <c r="CD44" s="138"/>
      <c r="CE44" s="138"/>
      <c r="CF44" s="138"/>
      <c r="CG44" s="138"/>
    </row>
    <row r="45" spans="1:85" ht="15">
      <c r="A45" s="144"/>
      <c r="B45" s="144"/>
      <c r="C45" s="144"/>
      <c r="D45" s="144"/>
      <c r="E45" s="144"/>
      <c r="F45" s="372"/>
      <c r="G45" s="372"/>
      <c r="H45" s="144"/>
      <c r="I45" s="144"/>
      <c r="J45" s="144"/>
      <c r="K45" s="144"/>
      <c r="L45" s="144"/>
      <c r="M45" s="144"/>
      <c r="N45" s="184"/>
      <c r="O45" s="18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c r="BA45"/>
      <c r="BB45"/>
      <c r="BC45"/>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38"/>
      <c r="BZ45" s="138"/>
      <c r="CA45" s="138"/>
      <c r="CB45" s="138"/>
      <c r="CC45" s="138"/>
      <c r="CD45" s="138"/>
      <c r="CE45" s="138"/>
      <c r="CF45" s="138"/>
      <c r="CG45" s="138"/>
    </row>
    <row r="46" spans="1:85" ht="15">
      <c r="A46" s="144"/>
      <c r="B46" s="144"/>
      <c r="C46" s="144"/>
      <c r="D46" s="144"/>
      <c r="E46" s="144"/>
      <c r="F46" s="371"/>
      <c r="G46" s="373"/>
      <c r="H46" s="144"/>
      <c r="I46" s="144"/>
      <c r="J46" s="144"/>
      <c r="K46" s="144"/>
      <c r="L46" s="144"/>
      <c r="M46" s="144"/>
      <c r="N46" s="18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c r="BA46"/>
      <c r="BB46"/>
      <c r="BC46"/>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38"/>
      <c r="BZ46" s="138"/>
      <c r="CA46" s="138"/>
      <c r="CB46" s="138"/>
      <c r="CC46" s="138"/>
      <c r="CD46" s="138"/>
      <c r="CE46" s="138"/>
      <c r="CF46" s="138"/>
      <c r="CG46" s="138"/>
    </row>
    <row r="47" spans="1:85" ht="15">
      <c r="A47" s="144"/>
      <c r="B47" s="144"/>
      <c r="C47" s="144"/>
      <c r="D47" s="144"/>
      <c r="E47" s="144"/>
      <c r="F47" s="372"/>
      <c r="G47" s="372"/>
      <c r="H47" s="144"/>
      <c r="I47" s="144"/>
      <c r="J47" s="144"/>
      <c r="K47" s="144"/>
      <c r="L47" s="144"/>
      <c r="M47" s="144"/>
      <c r="N47" s="18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c r="BA47"/>
      <c r="BB47"/>
      <c r="BC47"/>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38"/>
      <c r="BZ47" s="138"/>
      <c r="CA47" s="138"/>
      <c r="CB47" s="138"/>
      <c r="CC47" s="138"/>
      <c r="CD47" s="138"/>
      <c r="CE47" s="138"/>
      <c r="CF47" s="138"/>
      <c r="CG47" s="138"/>
    </row>
    <row r="48" spans="1:85" ht="15">
      <c r="A48" s="144"/>
      <c r="B48" s="144"/>
      <c r="C48" s="144"/>
      <c r="D48" s="144"/>
      <c r="E48" s="144"/>
      <c r="F48" s="371"/>
      <c r="G48" s="373"/>
      <c r="H48" s="144"/>
      <c r="I48" s="144"/>
      <c r="J48" s="144"/>
      <c r="K48" s="144"/>
      <c r="L48" s="144"/>
      <c r="M48" s="144"/>
      <c r="N48" s="18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c r="BA48"/>
      <c r="BB48"/>
      <c r="BC48"/>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38"/>
      <c r="BZ48" s="138"/>
      <c r="CA48" s="138"/>
      <c r="CB48" s="138"/>
      <c r="CC48" s="138"/>
      <c r="CD48" s="138"/>
      <c r="CE48" s="138"/>
      <c r="CF48" s="138"/>
      <c r="CG48" s="138"/>
    </row>
    <row r="49" spans="1:85" ht="15">
      <c r="A49" s="144"/>
      <c r="B49" s="144"/>
      <c r="C49" s="144"/>
      <c r="D49" s="144"/>
      <c r="E49" s="144"/>
      <c r="F49" s="372"/>
      <c r="G49" s="372"/>
      <c r="H49" s="144"/>
      <c r="I49" s="144"/>
      <c r="J49" s="144"/>
      <c r="K49" s="144"/>
      <c r="L49" s="144"/>
      <c r="M49" s="144"/>
      <c r="N49" s="18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c r="BA49"/>
      <c r="BB49"/>
      <c r="BC49"/>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38"/>
      <c r="BZ49" s="138"/>
      <c r="CA49" s="138"/>
      <c r="CB49" s="138"/>
      <c r="CC49" s="138"/>
      <c r="CD49" s="138"/>
      <c r="CE49" s="138"/>
      <c r="CF49" s="138"/>
      <c r="CG49" s="138"/>
    </row>
    <row r="50" spans="1:85" ht="15">
      <c r="A50" s="144"/>
      <c r="B50" s="144"/>
      <c r="C50" s="144"/>
      <c r="D50" s="144"/>
      <c r="E50" s="144"/>
      <c r="F50" s="371"/>
      <c r="G50" s="373"/>
      <c r="H50" s="144"/>
      <c r="I50" s="144"/>
      <c r="J50" s="144"/>
      <c r="K50" s="144"/>
      <c r="L50" s="144"/>
      <c r="M50" s="144"/>
      <c r="N50" s="18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c r="BA50"/>
      <c r="BB50"/>
      <c r="BC50"/>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38"/>
      <c r="BZ50" s="138"/>
      <c r="CA50" s="135"/>
      <c r="CB50" s="138"/>
      <c r="CC50" s="138"/>
      <c r="CD50" s="138"/>
      <c r="CE50" s="138"/>
      <c r="CF50" s="135"/>
      <c r="CG50" s="138"/>
    </row>
    <row r="51" spans="1:85" ht="15">
      <c r="A51" s="144"/>
      <c r="B51" s="144"/>
      <c r="C51" s="144"/>
      <c r="D51" s="144"/>
      <c r="E51" s="144"/>
      <c r="F51" s="372"/>
      <c r="G51" s="372"/>
      <c r="H51" s="144"/>
      <c r="I51" s="144"/>
      <c r="J51" s="144"/>
      <c r="K51" s="144"/>
      <c r="L51" s="144"/>
      <c r="M51" s="144"/>
      <c r="N51" s="18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c r="BA51"/>
      <c r="BB51"/>
      <c r="BC51"/>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38"/>
      <c r="BZ51" s="138"/>
      <c r="CA51" s="135"/>
      <c r="CB51" s="138"/>
      <c r="CC51" s="138"/>
      <c r="CD51" s="138"/>
      <c r="CE51" s="138"/>
      <c r="CF51" s="135"/>
      <c r="CG51" s="138"/>
    </row>
    <row r="52" spans="1:85" ht="15">
      <c r="A52" s="144"/>
      <c r="B52" s="144"/>
      <c r="C52" s="144"/>
      <c r="D52" s="144"/>
      <c r="E52" s="144"/>
      <c r="F52" s="371"/>
      <c r="G52" s="373"/>
      <c r="H52" s="144"/>
      <c r="I52" s="144"/>
      <c r="J52" s="144"/>
      <c r="K52" s="144"/>
      <c r="L52" s="144"/>
      <c r="M52" s="144"/>
      <c r="N52" s="18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c r="BA52"/>
      <c r="BB52"/>
      <c r="BC52"/>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35"/>
      <c r="BZ52" s="135"/>
      <c r="CA52" s="135"/>
      <c r="CB52" s="138"/>
      <c r="CC52" s="138"/>
      <c r="CD52" s="135"/>
      <c r="CE52" s="135"/>
      <c r="CF52" s="135"/>
      <c r="CG52" s="138"/>
    </row>
    <row r="53" spans="1:85" ht="15">
      <c r="A53" s="144"/>
      <c r="B53" s="144"/>
      <c r="C53" s="144"/>
      <c r="D53" s="144"/>
      <c r="E53" s="144"/>
      <c r="F53" s="372"/>
      <c r="G53" s="372"/>
      <c r="H53" s="144"/>
      <c r="I53" s="144"/>
      <c r="J53" s="144"/>
      <c r="K53" s="144"/>
      <c r="L53" s="144"/>
      <c r="M53" s="144"/>
      <c r="N53" s="18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c r="BA53"/>
      <c r="BB53"/>
      <c r="BC53"/>
      <c r="BD53" s="144"/>
      <c r="BE53" s="144"/>
      <c r="BF53" s="144"/>
      <c r="BG53" s="144"/>
      <c r="BH53" s="144"/>
      <c r="BI53" s="144"/>
      <c r="BJ53" s="144"/>
      <c r="BK53" s="144"/>
      <c r="BL53" s="144"/>
      <c r="BM53" s="144"/>
      <c r="BN53" s="144"/>
      <c r="BO53" s="144"/>
      <c r="BP53" s="144"/>
      <c r="BQ53" s="144"/>
      <c r="BR53" s="144"/>
      <c r="BS53" s="144"/>
      <c r="BT53" s="144"/>
      <c r="BU53" s="144"/>
      <c r="BV53" s="144"/>
      <c r="BW53" s="144"/>
      <c r="BX53" s="144"/>
    </row>
    <row r="54" spans="1:85" ht="15">
      <c r="A54" s="144"/>
      <c r="B54" s="144"/>
      <c r="C54" s="144"/>
      <c r="D54" s="144"/>
      <c r="E54" s="144"/>
      <c r="F54" s="371"/>
      <c r="G54" s="373"/>
      <c r="H54" s="144"/>
      <c r="I54" s="144"/>
      <c r="J54" s="144"/>
      <c r="K54" s="144"/>
      <c r="L54" s="144"/>
      <c r="M54" s="144"/>
      <c r="N54" s="18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c r="BA54"/>
      <c r="BB54"/>
      <c r="BC54"/>
      <c r="BD54" s="144"/>
      <c r="BE54" s="144"/>
      <c r="BF54" s="144"/>
      <c r="BG54" s="144"/>
      <c r="BH54" s="144"/>
      <c r="BI54" s="144"/>
      <c r="BJ54" s="144"/>
      <c r="BK54" s="144"/>
      <c r="BL54" s="144"/>
      <c r="BM54" s="144"/>
      <c r="BN54" s="144"/>
      <c r="BO54" s="144"/>
      <c r="BP54" s="144"/>
      <c r="BQ54" s="144"/>
      <c r="BR54" s="144"/>
      <c r="BS54" s="144"/>
      <c r="BT54" s="144"/>
      <c r="BU54" s="144"/>
      <c r="BV54" s="144"/>
      <c r="BW54" s="144"/>
      <c r="BX54" s="144"/>
    </row>
    <row r="55" spans="1:85" ht="15">
      <c r="A55" s="144"/>
      <c r="B55" s="144"/>
      <c r="C55" s="144"/>
      <c r="D55" s="144"/>
      <c r="E55" s="144"/>
      <c r="F55" s="372"/>
      <c r="G55" s="372"/>
      <c r="H55" s="144"/>
      <c r="I55" s="144"/>
      <c r="J55" s="144"/>
      <c r="K55" s="144"/>
      <c r="L55" s="144"/>
      <c r="M55" s="144"/>
      <c r="N55" s="18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c r="BA55"/>
      <c r="BB55"/>
      <c r="BC55"/>
      <c r="BD55" s="144"/>
      <c r="BE55" s="144"/>
      <c r="BF55" s="144"/>
      <c r="BG55" s="144"/>
      <c r="BH55" s="144"/>
      <c r="BI55" s="144"/>
      <c r="BJ55" s="144"/>
      <c r="BK55" s="144"/>
      <c r="BL55" s="144"/>
      <c r="BM55" s="144"/>
      <c r="BN55" s="144"/>
      <c r="BO55" s="144"/>
      <c r="BP55" s="144"/>
      <c r="BQ55" s="144"/>
      <c r="BR55" s="144"/>
      <c r="BS55" s="144"/>
      <c r="BT55" s="144"/>
      <c r="BU55" s="144"/>
      <c r="BV55" s="144"/>
      <c r="BW55" s="144"/>
      <c r="BX55" s="144"/>
    </row>
    <row r="56" spans="1:85" ht="15">
      <c r="A56" s="144"/>
      <c r="B56" s="144"/>
      <c r="C56" s="144"/>
      <c r="D56" s="144"/>
      <c r="E56" s="144"/>
      <c r="F56" s="371"/>
      <c r="G56" s="373"/>
      <c r="H56" s="144"/>
      <c r="I56" s="144"/>
      <c r="J56" s="144"/>
      <c r="K56" s="144"/>
      <c r="L56" s="144"/>
      <c r="M56" s="144"/>
      <c r="N56" s="18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c r="BA56"/>
      <c r="BB56"/>
      <c r="BC56"/>
      <c r="BD56" s="144"/>
      <c r="BE56" s="144"/>
      <c r="BF56" s="144"/>
      <c r="BG56" s="144"/>
      <c r="BH56" s="144"/>
      <c r="BI56" s="144"/>
      <c r="BJ56" s="144"/>
      <c r="BK56" s="144"/>
      <c r="BL56" s="144"/>
      <c r="BM56" s="144"/>
      <c r="BN56" s="144"/>
      <c r="BO56" s="144"/>
      <c r="BP56" s="144"/>
      <c r="BQ56" s="144"/>
      <c r="BR56" s="144"/>
      <c r="BS56" s="144"/>
      <c r="BT56" s="144"/>
      <c r="BU56" s="144"/>
      <c r="BV56" s="144"/>
      <c r="BW56" s="144"/>
      <c r="BX56" s="144"/>
    </row>
    <row r="57" spans="1:85" ht="15">
      <c r="A57" s="135"/>
      <c r="B57" s="135"/>
      <c r="C57" s="135"/>
      <c r="D57" s="135"/>
      <c r="E57" s="135"/>
      <c r="F57" s="372"/>
      <c r="G57" s="372"/>
      <c r="H57" s="135"/>
      <c r="I57" s="184"/>
      <c r="J57" s="184"/>
      <c r="K57" s="135"/>
      <c r="L57" s="135"/>
      <c r="M57" s="184"/>
      <c r="N57" s="184"/>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c r="BA57"/>
      <c r="BB57"/>
      <c r="BC57"/>
      <c r="BD57" s="135"/>
      <c r="BE57" s="135"/>
      <c r="BF57" s="135"/>
      <c r="BG57" s="135"/>
      <c r="BH57" s="135"/>
      <c r="BI57" s="135"/>
      <c r="BJ57" s="135"/>
    </row>
    <row r="58" spans="1:85" ht="15">
      <c r="A58" s="135"/>
      <c r="B58" s="135"/>
      <c r="C58" s="135"/>
      <c r="D58" s="135"/>
      <c r="E58" s="135"/>
      <c r="F58" s="371"/>
      <c r="G58" s="373"/>
      <c r="H58" s="135"/>
      <c r="I58" s="184"/>
      <c r="J58" s="184"/>
      <c r="K58" s="135"/>
      <c r="L58" s="135"/>
      <c r="M58" s="184"/>
      <c r="N58" s="184"/>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c r="BA58"/>
      <c r="BB58"/>
      <c r="BC58"/>
      <c r="BD58" s="135"/>
      <c r="BE58" s="135"/>
      <c r="BF58" s="135"/>
      <c r="BG58" s="135"/>
      <c r="BH58" s="135"/>
      <c r="BI58" s="135"/>
      <c r="BJ58" s="135"/>
    </row>
    <row r="59" spans="1:85" ht="15">
      <c r="A59" s="135"/>
      <c r="B59" s="135"/>
      <c r="C59" s="135"/>
      <c r="D59" s="135"/>
      <c r="E59" s="135"/>
      <c r="F59" s="372"/>
      <c r="G59" s="372"/>
      <c r="H59" s="135"/>
      <c r="I59" s="184"/>
      <c r="J59" s="184"/>
      <c r="K59" s="135"/>
      <c r="L59" s="135"/>
      <c r="M59" s="184"/>
      <c r="N59" s="184"/>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c r="BA59"/>
      <c r="BB59"/>
      <c r="BC59"/>
      <c r="BD59" s="135"/>
      <c r="BE59" s="135"/>
      <c r="BF59" s="135"/>
      <c r="BG59" s="135"/>
      <c r="BH59" s="135"/>
      <c r="BI59" s="135"/>
      <c r="BJ59" s="135"/>
    </row>
    <row r="60" spans="1:85" ht="15">
      <c r="A60" s="135"/>
      <c r="B60" s="135"/>
      <c r="C60" s="135"/>
      <c r="D60" s="135"/>
      <c r="E60" s="135"/>
      <c r="F60" s="371"/>
      <c r="G60" s="373"/>
      <c r="H60" s="135"/>
      <c r="I60" s="184"/>
      <c r="J60" s="184"/>
      <c r="K60" s="135"/>
      <c r="L60" s="135"/>
      <c r="M60" s="184"/>
      <c r="N60" s="184"/>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c r="BA60"/>
      <c r="BB60"/>
      <c r="BC60"/>
      <c r="BD60" s="135"/>
      <c r="BE60" s="135"/>
      <c r="BF60" s="135"/>
      <c r="BG60" s="135"/>
      <c r="BH60" s="135"/>
      <c r="BI60" s="135"/>
      <c r="BJ60" s="135"/>
    </row>
    <row r="61" spans="1:85" ht="15">
      <c r="F61" s="372"/>
      <c r="G61" s="372"/>
      <c r="I61" s="184"/>
      <c r="J61" s="184"/>
      <c r="M61" s="184"/>
      <c r="N61" s="184"/>
      <c r="AZ61"/>
      <c r="BA61"/>
      <c r="BB61"/>
      <c r="BC61"/>
    </row>
    <row r="62" spans="1:85" ht="15">
      <c r="F62" s="371"/>
      <c r="G62" s="373"/>
      <c r="I62" s="184"/>
      <c r="J62" s="184"/>
      <c r="M62" s="184"/>
      <c r="N62" s="184"/>
      <c r="AZ62"/>
      <c r="BA62"/>
      <c r="BB62"/>
      <c r="BC62"/>
    </row>
    <row r="63" spans="1:85" ht="15">
      <c r="F63" s="372"/>
      <c r="G63" s="372"/>
      <c r="I63" s="135"/>
      <c r="J63" s="135"/>
      <c r="M63" s="184"/>
      <c r="N63" s="184"/>
      <c r="AZ63"/>
      <c r="BA63"/>
      <c r="BB63"/>
      <c r="BC63"/>
    </row>
    <row r="64" spans="1:85" ht="15">
      <c r="F64" s="371"/>
      <c r="G64" s="373"/>
      <c r="I64" s="135"/>
      <c r="J64" s="135"/>
      <c r="M64" s="184"/>
      <c r="N64" s="184"/>
      <c r="AZ64"/>
      <c r="BA64"/>
      <c r="BB64"/>
      <c r="BC64"/>
    </row>
    <row r="65" spans="6:55" ht="15">
      <c r="F65" s="372"/>
      <c r="G65" s="372"/>
      <c r="M65" s="135"/>
      <c r="N65" s="184"/>
      <c r="AZ65"/>
      <c r="BA65"/>
      <c r="BB65"/>
      <c r="BC65"/>
    </row>
    <row r="66" spans="6:55" ht="15">
      <c r="F66" s="371"/>
      <c r="G66" s="373"/>
      <c r="M66" s="135"/>
      <c r="N66" s="184"/>
      <c r="AZ66"/>
      <c r="BA66"/>
      <c r="BB66"/>
      <c r="BC66"/>
    </row>
    <row r="67" spans="6:55" ht="15">
      <c r="F67" s="372"/>
      <c r="G67" s="372"/>
      <c r="N67" s="184"/>
      <c r="AZ67"/>
      <c r="BA67"/>
      <c r="BB67"/>
      <c r="BC67"/>
    </row>
    <row r="68" spans="6:55" ht="15">
      <c r="F68" s="371"/>
      <c r="G68" s="373"/>
      <c r="N68" s="184"/>
      <c r="AZ68"/>
      <c r="BA68"/>
      <c r="BB68"/>
      <c r="BC68"/>
    </row>
    <row r="69" spans="6:55" ht="15">
      <c r="F69" s="372"/>
      <c r="G69" s="372"/>
      <c r="N69" s="184"/>
      <c r="AZ69"/>
      <c r="BA69"/>
      <c r="BB69"/>
      <c r="BC69"/>
    </row>
    <row r="70" spans="6:55" ht="15">
      <c r="N70" s="184"/>
      <c r="AZ70"/>
      <c r="BA70"/>
      <c r="BB70"/>
      <c r="BC70"/>
    </row>
    <row r="71" spans="6:55" ht="15">
      <c r="N71" s="184"/>
      <c r="AZ71"/>
      <c r="BA71"/>
      <c r="BB71"/>
      <c r="BC71"/>
    </row>
    <row r="72" spans="6:55">
      <c r="N72" s="184"/>
    </row>
    <row r="73" spans="6:55">
      <c r="N73" s="184"/>
    </row>
  </sheetData>
  <sortState ref="BA16:BB70">
    <sortCondition descending="1" ref="BA16:BA70"/>
  </sortState>
  <mergeCells count="113">
    <mergeCell ref="U3:V3"/>
    <mergeCell ref="AG3:AH3"/>
    <mergeCell ref="CB42:CC42"/>
    <mergeCell ref="B14:BF14"/>
    <mergeCell ref="B15:BF15"/>
    <mergeCell ref="BY41:BZ41"/>
    <mergeCell ref="CB41:CC41"/>
    <mergeCell ref="AS3:AT3"/>
    <mergeCell ref="AU3:AV3"/>
    <mergeCell ref="AW3:AX3"/>
    <mergeCell ref="AY3:AZ3"/>
    <mergeCell ref="BA3:BB3"/>
    <mergeCell ref="BC3:BD3"/>
    <mergeCell ref="C3:D3"/>
    <mergeCell ref="G3:H3"/>
    <mergeCell ref="AA11:AB11"/>
    <mergeCell ref="AC11:AD11"/>
    <mergeCell ref="AE11:AF11"/>
    <mergeCell ref="AG11:AH11"/>
    <mergeCell ref="I3:J3"/>
    <mergeCell ref="K3:L3"/>
    <mergeCell ref="M3:N3"/>
    <mergeCell ref="F20:F21"/>
    <mergeCell ref="G20:G21"/>
    <mergeCell ref="CD41:CE41"/>
    <mergeCell ref="O3:P3"/>
    <mergeCell ref="Q3:R3"/>
    <mergeCell ref="S3:T3"/>
    <mergeCell ref="B12:BF12"/>
    <mergeCell ref="W3:X3"/>
    <mergeCell ref="Y3:Z3"/>
    <mergeCell ref="AA3:AB3"/>
    <mergeCell ref="AC3:AD3"/>
    <mergeCell ref="AE3:AF3"/>
    <mergeCell ref="BE3:BF3"/>
    <mergeCell ref="AI3:AJ3"/>
    <mergeCell ref="AK3:AL3"/>
    <mergeCell ref="AM3:AN3"/>
    <mergeCell ref="AO3:AP3"/>
    <mergeCell ref="AQ3:AR3"/>
    <mergeCell ref="E3:F3"/>
    <mergeCell ref="C11:D11"/>
    <mergeCell ref="E11:F11"/>
    <mergeCell ref="G11:H11"/>
    <mergeCell ref="K11:L11"/>
    <mergeCell ref="M11:N11"/>
    <mergeCell ref="W11:X11"/>
    <mergeCell ref="Y11:Z11"/>
    <mergeCell ref="BC11:BD11"/>
    <mergeCell ref="BE11:BF11"/>
    <mergeCell ref="I11:J11"/>
    <mergeCell ref="AS11:AT11"/>
    <mergeCell ref="AU11:AV11"/>
    <mergeCell ref="AW11:AX11"/>
    <mergeCell ref="AY11:AZ11"/>
    <mergeCell ref="BA11:BB11"/>
    <mergeCell ref="AI11:AJ11"/>
    <mergeCell ref="AK11:AL11"/>
    <mergeCell ref="AM11:AN11"/>
    <mergeCell ref="AO11:AP11"/>
    <mergeCell ref="AQ11:AR11"/>
    <mergeCell ref="O11:P11"/>
    <mergeCell ref="Q11:R11"/>
    <mergeCell ref="S11:T11"/>
    <mergeCell ref="U11:V11"/>
    <mergeCell ref="F28:F29"/>
    <mergeCell ref="G28:G29"/>
    <mergeCell ref="F30:F31"/>
    <mergeCell ref="G30:G31"/>
    <mergeCell ref="F32:F33"/>
    <mergeCell ref="G32:G33"/>
    <mergeCell ref="F22:F23"/>
    <mergeCell ref="G22:G23"/>
    <mergeCell ref="F24:F25"/>
    <mergeCell ref="G24:G25"/>
    <mergeCell ref="F26:F27"/>
    <mergeCell ref="G26:G27"/>
    <mergeCell ref="F40:F41"/>
    <mergeCell ref="G40:G41"/>
    <mergeCell ref="F42:F43"/>
    <mergeCell ref="G42:G43"/>
    <mergeCell ref="F44:F45"/>
    <mergeCell ref="G44:G45"/>
    <mergeCell ref="F34:F35"/>
    <mergeCell ref="G34:G35"/>
    <mergeCell ref="F36:F37"/>
    <mergeCell ref="G36:G37"/>
    <mergeCell ref="F38:F39"/>
    <mergeCell ref="G38:G39"/>
    <mergeCell ref="F52:F53"/>
    <mergeCell ref="G52:G53"/>
    <mergeCell ref="F54:F55"/>
    <mergeCell ref="G54:G55"/>
    <mergeCell ref="F56:F57"/>
    <mergeCell ref="G56:G57"/>
    <mergeCell ref="F46:F47"/>
    <mergeCell ref="G46:G47"/>
    <mergeCell ref="F48:F49"/>
    <mergeCell ref="G48:G49"/>
    <mergeCell ref="F50:F51"/>
    <mergeCell ref="G50:G51"/>
    <mergeCell ref="F64:F65"/>
    <mergeCell ref="G64:G65"/>
    <mergeCell ref="F66:F67"/>
    <mergeCell ref="G66:G67"/>
    <mergeCell ref="F68:F69"/>
    <mergeCell ref="G68:G69"/>
    <mergeCell ref="F58:F59"/>
    <mergeCell ref="G58:G59"/>
    <mergeCell ref="F60:F61"/>
    <mergeCell ref="G60:G61"/>
    <mergeCell ref="F62:F63"/>
    <mergeCell ref="G62:G6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2"/>
  <sheetViews>
    <sheetView zoomScaleNormal="100" workbookViewId="0">
      <pane xSplit="1" topLeftCell="B1" activePane="topRight" state="frozen"/>
      <selection pane="topRight" activeCell="C2" sqref="C2"/>
    </sheetView>
  </sheetViews>
  <sheetFormatPr defaultRowHeight="15"/>
  <cols>
    <col min="1" max="1" width="20.140625" customWidth="1"/>
    <col min="2" max="109" width="11.7109375" customWidth="1"/>
    <col min="110" max="110" width="13.85546875" customWidth="1"/>
    <col min="111" max="111" width="11.7109375" customWidth="1"/>
    <col min="112" max="112" width="13.85546875" customWidth="1"/>
    <col min="113" max="113" width="11.7109375" customWidth="1"/>
  </cols>
  <sheetData>
    <row r="1" spans="1:113" ht="15.75" thickBot="1"/>
    <row r="2" spans="1:113" ht="15.75" thickBot="1">
      <c r="A2" s="223" t="s">
        <v>253</v>
      </c>
      <c r="B2" s="223"/>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row>
    <row r="3" spans="1:113" ht="15" customHeight="1">
      <c r="A3" s="230"/>
      <c r="B3" s="383" t="s">
        <v>1</v>
      </c>
      <c r="C3" s="384"/>
      <c r="D3" s="384"/>
      <c r="E3" s="385"/>
      <c r="F3" s="383" t="s">
        <v>161</v>
      </c>
      <c r="G3" s="384"/>
      <c r="H3" s="384"/>
      <c r="I3" s="385"/>
      <c r="J3" s="383" t="s">
        <v>3</v>
      </c>
      <c r="K3" s="384"/>
      <c r="L3" s="384"/>
      <c r="M3" s="385"/>
      <c r="N3" s="383" t="s">
        <v>4</v>
      </c>
      <c r="O3" s="384"/>
      <c r="P3" s="384"/>
      <c r="Q3" s="385"/>
      <c r="R3" s="392" t="s">
        <v>5</v>
      </c>
      <c r="S3" s="391"/>
      <c r="T3" s="391"/>
      <c r="U3" s="391"/>
      <c r="V3" s="391" t="s">
        <v>6</v>
      </c>
      <c r="W3" s="391"/>
      <c r="X3" s="391"/>
      <c r="Y3" s="391"/>
      <c r="Z3" s="391" t="s">
        <v>7</v>
      </c>
      <c r="AA3" s="391"/>
      <c r="AB3" s="391"/>
      <c r="AC3" s="391"/>
      <c r="AD3" s="366" t="s">
        <v>162</v>
      </c>
      <c r="AE3" s="366"/>
      <c r="AF3" s="366"/>
      <c r="AG3" s="366"/>
      <c r="AH3" s="366" t="s">
        <v>9</v>
      </c>
      <c r="AI3" s="366"/>
      <c r="AJ3" s="366"/>
      <c r="AK3" s="366"/>
      <c r="AL3" s="386" t="s">
        <v>10</v>
      </c>
      <c r="AM3" s="399"/>
      <c r="AN3" s="399"/>
      <c r="AO3" s="387"/>
      <c r="AP3" s="366" t="s">
        <v>11</v>
      </c>
      <c r="AQ3" s="366"/>
      <c r="AR3" s="366"/>
      <c r="AS3" s="366"/>
      <c r="AT3" s="366" t="s">
        <v>12</v>
      </c>
      <c r="AU3" s="366"/>
      <c r="AV3" s="366"/>
      <c r="AW3" s="366"/>
      <c r="AX3" s="366" t="s">
        <v>13</v>
      </c>
      <c r="AY3" s="366"/>
      <c r="AZ3" s="366"/>
      <c r="BA3" s="366"/>
      <c r="BB3" s="366" t="s">
        <v>14</v>
      </c>
      <c r="BC3" s="366"/>
      <c r="BD3" s="366"/>
      <c r="BE3" s="366"/>
      <c r="BF3" s="366" t="s">
        <v>15</v>
      </c>
      <c r="BG3" s="366"/>
      <c r="BH3" s="366"/>
      <c r="BI3" s="366"/>
      <c r="BJ3" s="366" t="s">
        <v>16</v>
      </c>
      <c r="BK3" s="366"/>
      <c r="BL3" s="366"/>
      <c r="BM3" s="366"/>
      <c r="BN3" s="366" t="s">
        <v>17</v>
      </c>
      <c r="BO3" s="366"/>
      <c r="BP3" s="366"/>
      <c r="BQ3" s="366"/>
      <c r="BR3" s="386" t="s">
        <v>18</v>
      </c>
      <c r="BS3" s="399"/>
      <c r="BT3" s="399"/>
      <c r="BU3" s="387"/>
      <c r="BV3" s="366" t="s">
        <v>19</v>
      </c>
      <c r="BW3" s="366"/>
      <c r="BX3" s="366"/>
      <c r="BY3" s="366"/>
      <c r="BZ3" s="366" t="s">
        <v>163</v>
      </c>
      <c r="CA3" s="366"/>
      <c r="CB3" s="366"/>
      <c r="CC3" s="366"/>
      <c r="CD3" s="366" t="s">
        <v>21</v>
      </c>
      <c r="CE3" s="366"/>
      <c r="CF3" s="366"/>
      <c r="CG3" s="366"/>
      <c r="CH3" s="366" t="s">
        <v>22</v>
      </c>
      <c r="CI3" s="366"/>
      <c r="CJ3" s="366"/>
      <c r="CK3" s="366"/>
      <c r="CL3" s="366" t="s">
        <v>23</v>
      </c>
      <c r="CM3" s="366"/>
      <c r="CN3" s="366"/>
      <c r="CO3" s="366"/>
      <c r="CP3" s="366" t="s">
        <v>164</v>
      </c>
      <c r="CQ3" s="366"/>
      <c r="CR3" s="366"/>
      <c r="CS3" s="366"/>
      <c r="CT3" s="366" t="s">
        <v>165</v>
      </c>
      <c r="CU3" s="366"/>
      <c r="CV3" s="366"/>
      <c r="CW3" s="366"/>
      <c r="CX3" s="366" t="s">
        <v>25</v>
      </c>
      <c r="CY3" s="366"/>
      <c r="CZ3" s="366"/>
      <c r="DA3" s="366"/>
      <c r="DB3" s="386" t="s">
        <v>26</v>
      </c>
      <c r="DC3" s="399"/>
      <c r="DD3" s="399"/>
      <c r="DE3" s="387"/>
      <c r="DF3" s="366" t="s">
        <v>27</v>
      </c>
      <c r="DG3" s="366"/>
      <c r="DH3" s="366"/>
      <c r="DI3" s="366"/>
    </row>
    <row r="4" spans="1:113" s="232" customFormat="1" ht="25.5">
      <c r="A4" s="231"/>
      <c r="B4" s="330" t="s">
        <v>160</v>
      </c>
      <c r="C4" s="330" t="s">
        <v>153</v>
      </c>
      <c r="D4" s="231" t="s">
        <v>160</v>
      </c>
      <c r="E4" s="231" t="s">
        <v>153</v>
      </c>
      <c r="F4" s="231" t="s">
        <v>160</v>
      </c>
      <c r="G4" s="231" t="s">
        <v>153</v>
      </c>
      <c r="H4" s="231" t="s">
        <v>160</v>
      </c>
      <c r="I4" s="231" t="s">
        <v>153</v>
      </c>
      <c r="J4" s="231" t="s">
        <v>160</v>
      </c>
      <c r="K4" s="231" t="s">
        <v>153</v>
      </c>
      <c r="L4" s="231" t="s">
        <v>160</v>
      </c>
      <c r="M4" s="231" t="s">
        <v>153</v>
      </c>
      <c r="N4" s="231" t="s">
        <v>160</v>
      </c>
      <c r="O4" s="231" t="s">
        <v>153</v>
      </c>
      <c r="P4" s="231" t="s">
        <v>160</v>
      </c>
      <c r="Q4" s="231" t="s">
        <v>153</v>
      </c>
      <c r="R4" s="231" t="s">
        <v>160</v>
      </c>
      <c r="S4" s="231" t="s">
        <v>153</v>
      </c>
      <c r="T4" s="231" t="s">
        <v>160</v>
      </c>
      <c r="U4" s="231" t="s">
        <v>153</v>
      </c>
      <c r="V4" s="231" t="s">
        <v>160</v>
      </c>
      <c r="W4" s="231" t="s">
        <v>153</v>
      </c>
      <c r="X4" s="231" t="s">
        <v>160</v>
      </c>
      <c r="Y4" s="231" t="s">
        <v>153</v>
      </c>
      <c r="Z4" s="231" t="s">
        <v>160</v>
      </c>
      <c r="AA4" s="231" t="s">
        <v>153</v>
      </c>
      <c r="AB4" s="231"/>
      <c r="AC4" s="231"/>
      <c r="AD4" s="231" t="s">
        <v>160</v>
      </c>
      <c r="AE4" s="231" t="s">
        <v>153</v>
      </c>
      <c r="AF4" s="231" t="s">
        <v>160</v>
      </c>
      <c r="AG4" s="231" t="s">
        <v>153</v>
      </c>
      <c r="AH4" s="231" t="s">
        <v>160</v>
      </c>
      <c r="AI4" s="231" t="s">
        <v>153</v>
      </c>
      <c r="AJ4" s="231" t="s">
        <v>160</v>
      </c>
      <c r="AK4" s="231" t="s">
        <v>153</v>
      </c>
      <c r="AL4" s="231" t="s">
        <v>160</v>
      </c>
      <c r="AM4" s="231" t="s">
        <v>153</v>
      </c>
      <c r="AN4" s="231" t="s">
        <v>160</v>
      </c>
      <c r="AO4" s="231" t="s">
        <v>153</v>
      </c>
      <c r="AP4" s="231" t="s">
        <v>160</v>
      </c>
      <c r="AQ4" s="231" t="s">
        <v>153</v>
      </c>
      <c r="AR4" s="231" t="s">
        <v>160</v>
      </c>
      <c r="AS4" s="231" t="s">
        <v>153</v>
      </c>
      <c r="AT4" s="231" t="s">
        <v>160</v>
      </c>
      <c r="AU4" s="231" t="s">
        <v>153</v>
      </c>
      <c r="AV4" s="231" t="s">
        <v>160</v>
      </c>
      <c r="AW4" s="231" t="s">
        <v>153</v>
      </c>
      <c r="AX4" s="231" t="s">
        <v>160</v>
      </c>
      <c r="AY4" s="231" t="s">
        <v>153</v>
      </c>
      <c r="AZ4" s="231" t="s">
        <v>160</v>
      </c>
      <c r="BA4" s="231" t="s">
        <v>153</v>
      </c>
      <c r="BB4" s="231" t="s">
        <v>160</v>
      </c>
      <c r="BC4" s="231" t="s">
        <v>153</v>
      </c>
      <c r="BD4" s="231" t="s">
        <v>160</v>
      </c>
      <c r="BE4" s="231" t="s">
        <v>153</v>
      </c>
      <c r="BF4" s="231" t="s">
        <v>160</v>
      </c>
      <c r="BG4" s="231" t="s">
        <v>153</v>
      </c>
      <c r="BH4" s="231" t="s">
        <v>160</v>
      </c>
      <c r="BI4" s="231" t="s">
        <v>153</v>
      </c>
      <c r="BJ4" s="231" t="s">
        <v>160</v>
      </c>
      <c r="BK4" s="231" t="s">
        <v>153</v>
      </c>
      <c r="BL4" s="231" t="s">
        <v>160</v>
      </c>
      <c r="BM4" s="231" t="s">
        <v>153</v>
      </c>
      <c r="BN4" s="231" t="s">
        <v>160</v>
      </c>
      <c r="BO4" s="231" t="s">
        <v>153</v>
      </c>
      <c r="BP4" s="231" t="s">
        <v>160</v>
      </c>
      <c r="BQ4" s="231" t="s">
        <v>153</v>
      </c>
      <c r="BR4" s="231" t="s">
        <v>160</v>
      </c>
      <c r="BS4" s="231" t="s">
        <v>153</v>
      </c>
      <c r="BT4" s="231" t="s">
        <v>160</v>
      </c>
      <c r="BU4" s="231" t="s">
        <v>153</v>
      </c>
      <c r="BV4" s="231" t="s">
        <v>160</v>
      </c>
      <c r="BW4" s="231" t="s">
        <v>153</v>
      </c>
      <c r="BX4" s="231" t="s">
        <v>160</v>
      </c>
      <c r="BY4" s="231" t="s">
        <v>153</v>
      </c>
      <c r="BZ4" s="231" t="s">
        <v>160</v>
      </c>
      <c r="CA4" s="231" t="s">
        <v>153</v>
      </c>
      <c r="CB4" s="231" t="s">
        <v>160</v>
      </c>
      <c r="CC4" s="231" t="s">
        <v>153</v>
      </c>
      <c r="CD4" s="231" t="s">
        <v>160</v>
      </c>
      <c r="CE4" s="231" t="s">
        <v>153</v>
      </c>
      <c r="CF4" s="231" t="s">
        <v>160</v>
      </c>
      <c r="CG4" s="231" t="s">
        <v>153</v>
      </c>
      <c r="CH4" s="231" t="s">
        <v>160</v>
      </c>
      <c r="CI4" s="231" t="s">
        <v>153</v>
      </c>
      <c r="CJ4" s="231" t="s">
        <v>160</v>
      </c>
      <c r="CK4" s="231" t="s">
        <v>153</v>
      </c>
      <c r="CL4" s="231" t="s">
        <v>160</v>
      </c>
      <c r="CM4" s="231" t="s">
        <v>153</v>
      </c>
      <c r="CN4" s="231" t="s">
        <v>160</v>
      </c>
      <c r="CO4" s="231" t="s">
        <v>153</v>
      </c>
      <c r="CP4" s="231" t="s">
        <v>160</v>
      </c>
      <c r="CQ4" s="231" t="s">
        <v>153</v>
      </c>
      <c r="CR4" s="231" t="s">
        <v>160</v>
      </c>
      <c r="CS4" s="231" t="s">
        <v>153</v>
      </c>
      <c r="CT4" s="231" t="s">
        <v>160</v>
      </c>
      <c r="CU4" s="231" t="s">
        <v>153</v>
      </c>
      <c r="CV4" s="231" t="s">
        <v>160</v>
      </c>
      <c r="CW4" s="231" t="s">
        <v>153</v>
      </c>
      <c r="CX4" s="231" t="s">
        <v>160</v>
      </c>
      <c r="CY4" s="231" t="s">
        <v>153</v>
      </c>
      <c r="CZ4" s="231" t="s">
        <v>160</v>
      </c>
      <c r="DA4" s="231" t="s">
        <v>153</v>
      </c>
      <c r="DB4" s="231" t="s">
        <v>160</v>
      </c>
      <c r="DC4" s="231" t="s">
        <v>153</v>
      </c>
      <c r="DD4" s="231" t="s">
        <v>160</v>
      </c>
      <c r="DE4" s="231" t="s">
        <v>153</v>
      </c>
      <c r="DF4" s="231" t="s">
        <v>160</v>
      </c>
      <c r="DG4" s="231" t="s">
        <v>153</v>
      </c>
      <c r="DH4" s="231" t="s">
        <v>160</v>
      </c>
      <c r="DI4" s="231" t="s">
        <v>153</v>
      </c>
    </row>
    <row r="5" spans="1:113" s="232" customFormat="1" ht="15.75" thickBot="1">
      <c r="A5" s="229"/>
      <c r="B5" s="388" t="s">
        <v>211</v>
      </c>
      <c r="C5" s="388"/>
      <c r="D5" s="389" t="s">
        <v>72</v>
      </c>
      <c r="E5" s="390"/>
      <c r="F5" s="390" t="s">
        <v>211</v>
      </c>
      <c r="G5" s="390"/>
      <c r="H5" s="390" t="s">
        <v>72</v>
      </c>
      <c r="I5" s="390"/>
      <c r="J5" s="390" t="s">
        <v>211</v>
      </c>
      <c r="K5" s="390"/>
      <c r="L5" s="390" t="s">
        <v>72</v>
      </c>
      <c r="M5" s="390"/>
      <c r="N5" s="390" t="s">
        <v>211</v>
      </c>
      <c r="O5" s="390"/>
      <c r="P5" s="390" t="s">
        <v>72</v>
      </c>
      <c r="Q5" s="390"/>
      <c r="R5" s="390" t="s">
        <v>211</v>
      </c>
      <c r="S5" s="390"/>
      <c r="T5" s="390" t="s">
        <v>72</v>
      </c>
      <c r="U5" s="390"/>
      <c r="V5" s="390" t="s">
        <v>211</v>
      </c>
      <c r="W5" s="390"/>
      <c r="X5" s="390" t="s">
        <v>72</v>
      </c>
      <c r="Y5" s="390"/>
      <c r="Z5" s="390" t="s">
        <v>211</v>
      </c>
      <c r="AA5" s="390"/>
      <c r="AB5" s="390" t="s">
        <v>72</v>
      </c>
      <c r="AC5" s="390"/>
      <c r="AD5" s="390" t="s">
        <v>211</v>
      </c>
      <c r="AE5" s="390"/>
      <c r="AF5" s="390" t="s">
        <v>72</v>
      </c>
      <c r="AG5" s="390"/>
      <c r="AH5" s="390" t="s">
        <v>211</v>
      </c>
      <c r="AI5" s="390"/>
      <c r="AJ5" s="390" t="s">
        <v>72</v>
      </c>
      <c r="AK5" s="390"/>
      <c r="AL5" s="390" t="s">
        <v>211</v>
      </c>
      <c r="AM5" s="390"/>
      <c r="AN5" s="390" t="s">
        <v>72</v>
      </c>
      <c r="AO5" s="390"/>
      <c r="AP5" s="390" t="s">
        <v>211</v>
      </c>
      <c r="AQ5" s="390"/>
      <c r="AR5" s="390" t="s">
        <v>72</v>
      </c>
      <c r="AS5" s="390"/>
      <c r="AT5" s="390" t="s">
        <v>211</v>
      </c>
      <c r="AU5" s="390"/>
      <c r="AV5" s="390" t="s">
        <v>72</v>
      </c>
      <c r="AW5" s="390"/>
      <c r="AX5" s="390" t="s">
        <v>211</v>
      </c>
      <c r="AY5" s="390"/>
      <c r="AZ5" s="390" t="s">
        <v>72</v>
      </c>
      <c r="BA5" s="390"/>
      <c r="BB5" s="390" t="s">
        <v>211</v>
      </c>
      <c r="BC5" s="390"/>
      <c r="BD5" s="390" t="s">
        <v>72</v>
      </c>
      <c r="BE5" s="390"/>
      <c r="BF5" s="390" t="s">
        <v>211</v>
      </c>
      <c r="BG5" s="390"/>
      <c r="BH5" s="390" t="s">
        <v>72</v>
      </c>
      <c r="BI5" s="390"/>
      <c r="BJ5" s="390" t="s">
        <v>211</v>
      </c>
      <c r="BK5" s="390"/>
      <c r="BL5" s="390" t="s">
        <v>72</v>
      </c>
      <c r="BM5" s="390"/>
      <c r="BN5" s="390" t="s">
        <v>211</v>
      </c>
      <c r="BO5" s="390"/>
      <c r="BP5" s="390" t="s">
        <v>72</v>
      </c>
      <c r="BQ5" s="390"/>
      <c r="BR5" s="390" t="s">
        <v>211</v>
      </c>
      <c r="BS5" s="390"/>
      <c r="BT5" s="390" t="s">
        <v>72</v>
      </c>
      <c r="BU5" s="390"/>
      <c r="BV5" s="390" t="s">
        <v>211</v>
      </c>
      <c r="BW5" s="390"/>
      <c r="BX5" s="390" t="s">
        <v>72</v>
      </c>
      <c r="BY5" s="390"/>
      <c r="BZ5" s="390" t="s">
        <v>211</v>
      </c>
      <c r="CA5" s="390"/>
      <c r="CB5" s="390" t="s">
        <v>72</v>
      </c>
      <c r="CC5" s="390"/>
      <c r="CD5" s="390" t="s">
        <v>211</v>
      </c>
      <c r="CE5" s="390"/>
      <c r="CF5" s="390" t="s">
        <v>72</v>
      </c>
      <c r="CG5" s="390"/>
      <c r="CH5" s="390" t="s">
        <v>211</v>
      </c>
      <c r="CI5" s="390"/>
      <c r="CJ5" s="390" t="s">
        <v>72</v>
      </c>
      <c r="CK5" s="390"/>
      <c r="CL5" s="396" t="s">
        <v>211</v>
      </c>
      <c r="CM5" s="396"/>
      <c r="CN5" s="390" t="s">
        <v>72</v>
      </c>
      <c r="CO5" s="390"/>
      <c r="CP5" s="393"/>
      <c r="CQ5" s="389"/>
      <c r="CR5" s="393"/>
      <c r="CS5" s="389"/>
      <c r="CT5" s="393"/>
      <c r="CU5" s="389"/>
      <c r="CV5" s="393"/>
      <c r="CW5" s="389"/>
      <c r="CX5" s="393"/>
      <c r="CY5" s="389"/>
      <c r="CZ5" s="393"/>
      <c r="DA5" s="389"/>
      <c r="DB5" s="393"/>
      <c r="DC5" s="389"/>
      <c r="DD5" s="393"/>
      <c r="DE5" s="389"/>
      <c r="DF5" s="393" t="s">
        <v>211</v>
      </c>
      <c r="DG5" s="389"/>
      <c r="DH5" s="393" t="s">
        <v>72</v>
      </c>
      <c r="DI5" s="389"/>
    </row>
    <row r="6" spans="1:113" ht="15.75" thickBot="1">
      <c r="A6" s="327" t="s">
        <v>166</v>
      </c>
      <c r="B6" s="331">
        <f>'Cote-sal, angajator vs. PFA'!B15*12</f>
        <v>10724.400000000001</v>
      </c>
      <c r="C6" s="332">
        <v>100</v>
      </c>
      <c r="D6" s="234">
        <v>10724.400000000001</v>
      </c>
      <c r="E6" s="234">
        <v>100</v>
      </c>
      <c r="F6" s="234">
        <f>'Cote-sal, angajator vs. PFA'!F15*12</f>
        <v>314198.40000000002</v>
      </c>
      <c r="G6" s="234">
        <v>100</v>
      </c>
      <c r="H6" s="234">
        <v>314198.40000000002</v>
      </c>
      <c r="I6" s="234">
        <v>100</v>
      </c>
      <c r="J6" s="234">
        <v>12780</v>
      </c>
      <c r="K6" s="234">
        <v>100</v>
      </c>
      <c r="L6" s="234">
        <v>12780</v>
      </c>
      <c r="M6" s="234">
        <v>100</v>
      </c>
      <c r="N6" s="234">
        <f>'Cote-sal, angajator vs. PFA'!N15*12</f>
        <v>9816</v>
      </c>
      <c r="O6" s="234">
        <v>100</v>
      </c>
      <c r="P6" s="234">
        <v>9816</v>
      </c>
      <c r="Q6" s="234">
        <v>100</v>
      </c>
      <c r="R6" s="234">
        <v>8821.2000000000007</v>
      </c>
      <c r="S6" s="234">
        <v>100</v>
      </c>
      <c r="T6" s="234">
        <v>9816</v>
      </c>
      <c r="U6" s="234">
        <v>100</v>
      </c>
      <c r="V6" s="234">
        <f>'Cote-sal, angajator vs. PFA'!V15*12</f>
        <v>2977798.8</v>
      </c>
      <c r="W6" s="234">
        <v>100</v>
      </c>
      <c r="X6" s="234">
        <v>2977798.8</v>
      </c>
      <c r="Y6" s="234">
        <v>100</v>
      </c>
      <c r="Z6" s="234">
        <v>46202.399999999994</v>
      </c>
      <c r="AA6" s="234">
        <v>100</v>
      </c>
      <c r="AB6" s="234">
        <v>46202.399999999994</v>
      </c>
      <c r="AC6" s="234">
        <v>100</v>
      </c>
      <c r="AD6" s="233">
        <f>'Cote-sal, angajator vs. PFA'!AD15*12</f>
        <v>30714</v>
      </c>
      <c r="AE6" s="234">
        <v>100</v>
      </c>
      <c r="AF6" s="234">
        <v>30714</v>
      </c>
      <c r="AG6" s="234">
        <v>100</v>
      </c>
      <c r="AH6" s="234">
        <v>22191.599999999999</v>
      </c>
      <c r="AI6" s="234">
        <v>100</v>
      </c>
      <c r="AJ6" s="234">
        <v>22191.599999999999</v>
      </c>
      <c r="AK6" s="234">
        <v>100</v>
      </c>
      <c r="AL6" s="234">
        <f>'Cote-sal, angajator vs. PFA'!AL15*12</f>
        <v>12304.800000000001</v>
      </c>
      <c r="AM6" s="234">
        <v>100</v>
      </c>
      <c r="AN6" s="234">
        <v>12304.800000000001</v>
      </c>
      <c r="AO6" s="234">
        <v>100</v>
      </c>
      <c r="AP6" s="234">
        <v>40677.600000000006</v>
      </c>
      <c r="AQ6" s="234">
        <v>100</v>
      </c>
      <c r="AR6" s="234">
        <v>40677.600000000006</v>
      </c>
      <c r="AS6" s="234">
        <v>100</v>
      </c>
      <c r="AT6" s="234">
        <f>'Cote-sal, angajator vs. PFA'!AT15*12</f>
        <v>42861.600000000006</v>
      </c>
      <c r="AU6" s="234">
        <v>100</v>
      </c>
      <c r="AV6" s="234">
        <v>42861.600000000006</v>
      </c>
      <c r="AW6" s="234">
        <v>100</v>
      </c>
      <c r="AX6" s="234">
        <v>96912</v>
      </c>
      <c r="AY6" s="234">
        <v>100</v>
      </c>
      <c r="AZ6" s="234">
        <v>96912</v>
      </c>
      <c r="BA6" s="234">
        <v>100</v>
      </c>
      <c r="BB6" s="234">
        <f>+'Cote-sal, angajator vs. PFA'!BB15*12</f>
        <v>22539</v>
      </c>
      <c r="BC6" s="234">
        <v>100</v>
      </c>
      <c r="BD6" s="234">
        <v>22539</v>
      </c>
      <c r="BE6" s="234">
        <v>100</v>
      </c>
      <c r="BF6" s="234">
        <v>428396.39999999997</v>
      </c>
      <c r="BG6" s="234">
        <v>100</v>
      </c>
      <c r="BH6" s="234">
        <v>428396.39999999997</v>
      </c>
      <c r="BI6" s="234">
        <v>100</v>
      </c>
      <c r="BJ6" s="234">
        <f>'Cote-sal, angajator vs. PFA'!BJ15*12</f>
        <v>40893.600000000006</v>
      </c>
      <c r="BK6" s="234">
        <v>100</v>
      </c>
      <c r="BL6" s="234">
        <v>40893.600000000006</v>
      </c>
      <c r="BM6" s="234">
        <v>100</v>
      </c>
      <c r="BN6" s="234">
        <v>36490.800000000003</v>
      </c>
      <c r="BO6" s="234">
        <v>100</v>
      </c>
      <c r="BP6" s="234">
        <v>36490.800000000003</v>
      </c>
      <c r="BQ6" s="234">
        <v>100</v>
      </c>
      <c r="BR6" s="234">
        <f>'Cote-sal, angajator vs. PFA'!BR15*12</f>
        <v>37612.800000000003</v>
      </c>
      <c r="BS6" s="234">
        <v>100</v>
      </c>
      <c r="BT6" s="234">
        <v>37612.800000000003</v>
      </c>
      <c r="BU6" s="234">
        <v>100</v>
      </c>
      <c r="BV6" s="234">
        <v>17642.400000000001</v>
      </c>
      <c r="BW6" s="234">
        <v>100</v>
      </c>
      <c r="BX6" s="234">
        <v>17642.400000000001</v>
      </c>
      <c r="BY6" s="234">
        <v>100</v>
      </c>
      <c r="BZ6" s="234">
        <f>'Cote-sal, angajator vs. PFA'!BZ15*12</f>
        <v>47366.399999999994</v>
      </c>
      <c r="CA6" s="234">
        <v>100</v>
      </c>
      <c r="CB6" s="234">
        <v>47366.399999999994</v>
      </c>
      <c r="CC6" s="234">
        <v>100</v>
      </c>
      <c r="CD6" s="234">
        <v>28890</v>
      </c>
      <c r="CE6" s="234">
        <v>100</v>
      </c>
      <c r="CF6" s="234">
        <v>28890</v>
      </c>
      <c r="CG6" s="234">
        <v>100</v>
      </c>
      <c r="CH6" s="234">
        <f>'Cote-sal, angajator vs. PFA'!CH15*12</f>
        <v>46383.600000000006</v>
      </c>
      <c r="CI6" s="234">
        <v>100</v>
      </c>
      <c r="CJ6" s="234">
        <v>46383.600000000006</v>
      </c>
      <c r="CK6" s="234">
        <v>100</v>
      </c>
      <c r="CL6" s="233">
        <v>16368</v>
      </c>
      <c r="CM6" s="234">
        <v>100</v>
      </c>
      <c r="CN6" s="234">
        <v>16368</v>
      </c>
      <c r="CO6" s="234">
        <v>100</v>
      </c>
      <c r="CP6" s="234">
        <f>'Cote-sal, angajator vs. PFA'!CP15*12</f>
        <v>27478.800000000003</v>
      </c>
      <c r="CQ6" s="234">
        <v>100</v>
      </c>
      <c r="CR6" s="234">
        <v>27478.800000000003</v>
      </c>
      <c r="CS6" s="234">
        <v>100</v>
      </c>
      <c r="CT6" s="233">
        <f>'Cote-sal, angajator vs. PFA'!CT15*12</f>
        <v>33102</v>
      </c>
      <c r="CU6" s="234">
        <v>100</v>
      </c>
      <c r="CV6" s="234">
        <v>33102</v>
      </c>
      <c r="CW6" s="234">
        <v>100</v>
      </c>
      <c r="CX6" s="234">
        <f>'Cote-sal, angajator vs. PFA'!CX15*12</f>
        <v>60381.600000000006</v>
      </c>
      <c r="CY6" s="234">
        <v>100</v>
      </c>
      <c r="CZ6" s="234">
        <v>60381.600000000006</v>
      </c>
      <c r="DA6" s="234">
        <v>100</v>
      </c>
      <c r="DB6" s="234">
        <f>+'Cote-sal, angajator vs. PFA'!DB15*12</f>
        <v>16546.74999999996</v>
      </c>
      <c r="DC6" s="234">
        <v>100</v>
      </c>
      <c r="DD6" s="229">
        <v>16546.75</v>
      </c>
      <c r="DE6" s="229">
        <v>100</v>
      </c>
      <c r="DF6" s="233">
        <f>'Cote-sal, angajator vs. PFA'!DF15*12</f>
        <v>389385.6</v>
      </c>
      <c r="DG6" s="233">
        <v>100</v>
      </c>
      <c r="DH6" s="180">
        <v>389385.6</v>
      </c>
      <c r="DI6" s="180">
        <v>100</v>
      </c>
    </row>
    <row r="7" spans="1:113" ht="15.75" thickBot="1">
      <c r="A7" s="328" t="s">
        <v>154</v>
      </c>
      <c r="B7" s="332">
        <f>B6*'Cote-sal, angajator vs. PFA'!D8/100</f>
        <v>3324.5640000000003</v>
      </c>
      <c r="C7" s="332">
        <f>B7/$B$6*100</f>
        <v>31</v>
      </c>
      <c r="D7" s="177">
        <v>2766.8952000000004</v>
      </c>
      <c r="E7" s="177">
        <v>25.8</v>
      </c>
      <c r="F7" s="177">
        <f>F6*'Cote-sal, angajator vs. PFA'!H8/100</f>
        <v>141389.28000000003</v>
      </c>
      <c r="G7" s="177">
        <f>F7/$F$6*100</f>
        <v>45.000000000000007</v>
      </c>
      <c r="H7" s="177">
        <v>112954.32480000002</v>
      </c>
      <c r="I7" s="177">
        <v>35.950000000000003</v>
      </c>
      <c r="J7" s="177">
        <v>4524.12</v>
      </c>
      <c r="K7" s="177">
        <v>35.4</v>
      </c>
      <c r="L7" s="177">
        <v>4217.4000000000005</v>
      </c>
      <c r="M7" s="177">
        <v>33</v>
      </c>
      <c r="N7" s="177">
        <f>N6*'Cote-sal, angajator vs. PFA'!P8/100</f>
        <v>3346.2743999999993</v>
      </c>
      <c r="O7" s="177">
        <f>N7/$N$6*100</f>
        <v>34.089999999999989</v>
      </c>
      <c r="P7" s="177">
        <v>3048.8496</v>
      </c>
      <c r="Q7" s="177">
        <v>31.06</v>
      </c>
      <c r="R7" s="177">
        <v>4075.3944000000006</v>
      </c>
      <c r="S7" s="177">
        <v>46.2</v>
      </c>
      <c r="T7" s="177">
        <v>3048.8496</v>
      </c>
      <c r="U7" s="177">
        <v>31.06</v>
      </c>
      <c r="V7" s="177">
        <f>V6*'Cote-sal, angajator vs. PFA'!X8/100</f>
        <v>1354898.4540000001</v>
      </c>
      <c r="W7" s="177">
        <f>V7/$V$6*100</f>
        <v>45.500000000000007</v>
      </c>
      <c r="X7" s="177">
        <v>804005.67599999998</v>
      </c>
      <c r="Y7" s="177">
        <v>27</v>
      </c>
      <c r="Z7" s="177">
        <v>18005.075279999997</v>
      </c>
      <c r="AA7" s="177">
        <v>38.97</v>
      </c>
      <c r="AB7" s="177">
        <v>12755.566879999998</v>
      </c>
      <c r="AC7" s="177">
        <v>27.608017938462069</v>
      </c>
      <c r="AD7" s="181">
        <f>AD6*'Cote-sal, angajator vs. PFA'!AF8/100</f>
        <v>12085.959000000001</v>
      </c>
      <c r="AE7" s="177">
        <f>AD7/$AD$6*100</f>
        <v>39.35</v>
      </c>
      <c r="AF7" s="177">
        <v>4914.24</v>
      </c>
      <c r="AG7" s="177">
        <v>16</v>
      </c>
      <c r="AH7" s="177">
        <v>8477.1911999999993</v>
      </c>
      <c r="AI7" s="177">
        <v>38.200000000000003</v>
      </c>
      <c r="AJ7" s="177">
        <v>8477.1911999999993</v>
      </c>
      <c r="AK7" s="177">
        <v>38.200000000000003</v>
      </c>
      <c r="AL7" s="177">
        <f>AL6*'Cote-sal, angajator vs. PFA'!AN8/100</f>
        <v>5980.1328000000003</v>
      </c>
      <c r="AM7" s="177">
        <f>AL7/$AL$6*100</f>
        <v>48.6</v>
      </c>
      <c r="AN7" s="177">
        <v>3316.0943808000006</v>
      </c>
      <c r="AO7" s="177">
        <v>26.9496</v>
      </c>
      <c r="AP7" s="177">
        <v>15782.908800000003</v>
      </c>
      <c r="AQ7" s="177">
        <v>38.800000000000004</v>
      </c>
      <c r="AR7" s="177">
        <v>10637.1924</v>
      </c>
      <c r="AS7" s="177">
        <v>26.149999999999995</v>
      </c>
      <c r="AT7" s="177">
        <f>AT6*'Cote-sal, angajator vs. PFA'!AV8/100</f>
        <v>20474.986320000004</v>
      </c>
      <c r="AU7" s="177">
        <f>AT7/$AT$6*100</f>
        <v>47.77</v>
      </c>
      <c r="AV7" s="177">
        <v>9429.5520000000015</v>
      </c>
      <c r="AW7" s="177">
        <v>22</v>
      </c>
      <c r="AX7" s="177">
        <v>31205.664000000004</v>
      </c>
      <c r="AY7" s="177">
        <v>32.200000000000003</v>
      </c>
      <c r="AZ7" s="177">
        <v>35566.704000000005</v>
      </c>
      <c r="BA7" s="177">
        <v>36.700000000000003</v>
      </c>
      <c r="BB7" s="177">
        <f>+BB6*'Cote-sal, angajator vs. PFA'!BB5/100</f>
        <v>1758.0419999999999</v>
      </c>
      <c r="BC7" s="177">
        <f>BB7/BB$6*100</f>
        <v>7.8</v>
      </c>
      <c r="BD7" s="177">
        <v>8271.8130000000001</v>
      </c>
      <c r="BE7" s="177">
        <v>36.700000000000003</v>
      </c>
      <c r="BF7" s="177">
        <v>11136</v>
      </c>
      <c r="BG7" s="177">
        <v>2.5994616201256595</v>
      </c>
      <c r="BH7" s="177">
        <v>0</v>
      </c>
      <c r="BI7" s="177">
        <v>0</v>
      </c>
      <c r="BJ7" s="177">
        <f>BJ6*29.33/100</f>
        <v>11994.092880000002</v>
      </c>
      <c r="BK7" s="177">
        <f>BJ7/$BJ$6*100</f>
        <v>29.330000000000002</v>
      </c>
      <c r="BL7" s="177">
        <v>9691.7831999999999</v>
      </c>
      <c r="BM7" s="177">
        <v>23.699999999999996</v>
      </c>
      <c r="BN7" s="177">
        <v>20121.027120000002</v>
      </c>
      <c r="BO7" s="177">
        <v>55.14</v>
      </c>
      <c r="BP7" s="177">
        <v>16712.786400000001</v>
      </c>
      <c r="BQ7" s="177">
        <v>45.8</v>
      </c>
      <c r="BR7" s="177">
        <f>BR6*'Cote-sal, angajator vs. PFA'!BT8/100</f>
        <v>14879.623680000001</v>
      </c>
      <c r="BS7" s="177">
        <f>BR7/$BR$6*100</f>
        <v>39.56</v>
      </c>
      <c r="BT7" s="177">
        <v>5265.7920000000013</v>
      </c>
      <c r="BU7" s="177">
        <v>14.000000000000002</v>
      </c>
      <c r="BV7" s="177">
        <v>7094.0090400000008</v>
      </c>
      <c r="BW7" s="177">
        <v>40.21</v>
      </c>
      <c r="BX7" s="177">
        <v>4869.3024000000005</v>
      </c>
      <c r="BY7" s="177">
        <v>27.6</v>
      </c>
      <c r="BZ7" s="177">
        <f>BZ6*14.75/100</f>
        <v>6986.543999999999</v>
      </c>
      <c r="CA7" s="177">
        <f>BZ7/$BZ$6*100</f>
        <v>14.75</v>
      </c>
      <c r="CB7" s="177">
        <v>1894.6559999999997</v>
      </c>
      <c r="CC7" s="177">
        <v>4</v>
      </c>
      <c r="CD7" s="177">
        <v>10882.863000000001</v>
      </c>
      <c r="CE7" s="177">
        <v>37.67</v>
      </c>
      <c r="CF7" s="177">
        <v>3021.9630000000002</v>
      </c>
      <c r="CG7" s="177">
        <v>10.460238836967809</v>
      </c>
      <c r="CH7" s="177">
        <f>33715*'Cote-sal, angajator vs. PFA'!CH8/100+'Cote-sal, angajator vs. PFA'!CI8/100*'Ex. presiune fiscala agregat'!CH6</f>
        <v>18057.823420000001</v>
      </c>
      <c r="CI7" s="177">
        <f>CH7/$CH$6*100</f>
        <v>38.931483153528404</v>
      </c>
      <c r="CJ7" s="177">
        <v>13317.848000000002</v>
      </c>
      <c r="CK7" s="177">
        <v>32.567071620008996</v>
      </c>
      <c r="CL7" s="177">
        <v>5687.88</v>
      </c>
      <c r="CM7" s="177">
        <v>34.75</v>
      </c>
      <c r="CN7" s="177">
        <v>4844.9280000000008</v>
      </c>
      <c r="CO7" s="177">
        <v>29.600000000000005</v>
      </c>
      <c r="CP7" s="177">
        <f>CP6*'Cote-sal, angajator vs. PFA'!CR8/100</f>
        <v>9961.0650000000005</v>
      </c>
      <c r="CQ7" s="177">
        <f>CP7/$CP$6*100</f>
        <v>36.25</v>
      </c>
      <c r="CR7" s="177">
        <v>8188.6824000000006</v>
      </c>
      <c r="CS7" s="177">
        <v>29.799999999999997</v>
      </c>
      <c r="CT7" s="177">
        <f>(0.12*(CT6-7956))+(0.138*(CT6-7956))</f>
        <v>6487.6679999999997</v>
      </c>
      <c r="CU7" s="177">
        <f>CT7/$CT$6*100</f>
        <v>19.599021207177813</v>
      </c>
      <c r="CV7" s="177">
        <v>2263.14</v>
      </c>
      <c r="CW7" s="177">
        <v>6.8368678629690036</v>
      </c>
      <c r="CX7" s="177">
        <f>CX6*'Cote-sal, angajator vs. PFA'!CZ8/100</f>
        <v>15970.933200000003</v>
      </c>
      <c r="CY7" s="177">
        <f>CX7/$CX$6*100</f>
        <v>26.450000000000003</v>
      </c>
      <c r="CZ7" s="177">
        <v>14008.531200000003</v>
      </c>
      <c r="DA7" s="177">
        <v>23.200000000000003</v>
      </c>
      <c r="DB7" s="177">
        <f>0.1663*8645.52+0.1*(DB6-8645.52)</f>
        <v>2227.872975999996</v>
      </c>
      <c r="DC7" s="177">
        <f>DB7/$DB$6*100</f>
        <v>13.464112142867943</v>
      </c>
      <c r="DD7" s="234">
        <v>3552.1397999999999</v>
      </c>
      <c r="DE7" s="234">
        <v>21.467295994681734</v>
      </c>
      <c r="DF7" s="181">
        <f>DF6*'Cote-sal, angajator vs. PFA'!DH8/100</f>
        <v>149601.94752000002</v>
      </c>
      <c r="DG7" s="181">
        <f>DF7/$DF$6*100</f>
        <v>38.42</v>
      </c>
      <c r="DH7" s="178">
        <v>112805.00832000001</v>
      </c>
      <c r="DI7" s="180">
        <v>28.970000000000002</v>
      </c>
    </row>
    <row r="8" spans="1:113" ht="15.75" thickBot="1">
      <c r="A8" s="328" t="s">
        <v>155</v>
      </c>
      <c r="B8" s="332">
        <f>B6-B7</f>
        <v>7399.8360000000011</v>
      </c>
      <c r="C8" s="332">
        <f>B8/$B$6*100</f>
        <v>69</v>
      </c>
      <c r="D8" s="177">
        <v>7957.5048000000006</v>
      </c>
      <c r="E8" s="177">
        <v>74.2</v>
      </c>
      <c r="F8" s="177">
        <f>F6-F7</f>
        <v>172809.12</v>
      </c>
      <c r="G8" s="177">
        <f t="shared" ref="G8:G11" si="0">F8/$F$6*100</f>
        <v>54.999999999999993</v>
      </c>
      <c r="H8" s="177">
        <v>201244.07520000002</v>
      </c>
      <c r="I8" s="177">
        <v>64.050000000000011</v>
      </c>
      <c r="J8" s="177">
        <v>8255.880000000001</v>
      </c>
      <c r="K8" s="177">
        <v>64.600000000000009</v>
      </c>
      <c r="L8" s="177">
        <v>8562.5999999999985</v>
      </c>
      <c r="M8" s="177">
        <v>67</v>
      </c>
      <c r="N8" s="177">
        <f>N6-N7</f>
        <v>6469.7256000000007</v>
      </c>
      <c r="O8" s="177">
        <f t="shared" ref="O8:O11" si="1">N8/$N$6*100</f>
        <v>65.91</v>
      </c>
      <c r="P8" s="177">
        <v>6767.1504000000004</v>
      </c>
      <c r="Q8" s="177">
        <v>68.94</v>
      </c>
      <c r="R8" s="177">
        <v>4745.8055999999997</v>
      </c>
      <c r="S8" s="177">
        <v>53.79999999999999</v>
      </c>
      <c r="T8" s="177">
        <v>6767.1504000000004</v>
      </c>
      <c r="U8" s="177">
        <v>68.94</v>
      </c>
      <c r="V8" s="177">
        <f>V6-V7</f>
        <v>1622900.3459999997</v>
      </c>
      <c r="W8" s="177">
        <f t="shared" ref="W8:W11" si="2">V8/$V$6*100</f>
        <v>54.499999999999993</v>
      </c>
      <c r="X8" s="177">
        <v>2173793.1239999998</v>
      </c>
      <c r="Y8" s="177">
        <v>73</v>
      </c>
      <c r="Z8" s="177">
        <v>28197.324719999997</v>
      </c>
      <c r="AA8" s="177">
        <v>61.030000000000008</v>
      </c>
      <c r="AB8" s="177">
        <v>33446.833119999996</v>
      </c>
      <c r="AC8" s="177">
        <v>72.391982061537931</v>
      </c>
      <c r="AD8" s="181">
        <f>AD6-AD7</f>
        <v>18628.040999999997</v>
      </c>
      <c r="AE8" s="177">
        <f t="shared" ref="AE8:AE11" si="3">AD8/$AD$6*100</f>
        <v>60.649999999999991</v>
      </c>
      <c r="AF8" s="177">
        <v>25799.760000000002</v>
      </c>
      <c r="AG8" s="177">
        <v>84.000000000000014</v>
      </c>
      <c r="AH8" s="177">
        <v>13714.408799999999</v>
      </c>
      <c r="AI8" s="177">
        <v>61.8</v>
      </c>
      <c r="AJ8" s="177">
        <v>13714.408799999999</v>
      </c>
      <c r="AK8" s="177">
        <v>61.8</v>
      </c>
      <c r="AL8" s="177">
        <f>AL6-AL7</f>
        <v>6324.6672000000008</v>
      </c>
      <c r="AM8" s="177">
        <f t="shared" ref="AM8:AM11" si="4">AL8/$AL$6*100</f>
        <v>51.4</v>
      </c>
      <c r="AN8" s="177">
        <v>8988.7056192</v>
      </c>
      <c r="AO8" s="177">
        <v>73.050399999999996</v>
      </c>
      <c r="AP8" s="177">
        <v>24894.691200000001</v>
      </c>
      <c r="AQ8" s="177">
        <v>61.199999999999996</v>
      </c>
      <c r="AR8" s="177">
        <v>30040.407600000006</v>
      </c>
      <c r="AS8" s="177">
        <v>73.850000000000009</v>
      </c>
      <c r="AT8" s="177">
        <f>AT6-AT7</f>
        <v>22386.613680000002</v>
      </c>
      <c r="AU8" s="177">
        <f t="shared" ref="AU8:AU11" si="5">AT8/$AT$6*100</f>
        <v>52.23</v>
      </c>
      <c r="AV8" s="177">
        <v>33432.048000000003</v>
      </c>
      <c r="AW8" s="177">
        <v>77.999999999999986</v>
      </c>
      <c r="AX8" s="177">
        <v>65706.335999999996</v>
      </c>
      <c r="AY8" s="177">
        <v>67.8</v>
      </c>
      <c r="AZ8" s="177">
        <v>61345.295999999995</v>
      </c>
      <c r="BA8" s="177">
        <v>63.29999999999999</v>
      </c>
      <c r="BB8" s="177">
        <f>+BB6-BB7</f>
        <v>20780.957999999999</v>
      </c>
      <c r="BC8" s="177">
        <f t="shared" ref="BC8:BC11" si="6">BB8/BB$6*100</f>
        <v>92.199999999999989</v>
      </c>
      <c r="BD8" s="177">
        <v>14267.187</v>
      </c>
      <c r="BE8" s="177">
        <v>63.3</v>
      </c>
      <c r="BF8" s="177">
        <v>417260.39999999997</v>
      </c>
      <c r="BG8" s="177">
        <v>97.400538379874334</v>
      </c>
      <c r="BH8" s="177">
        <v>428396.39999999997</v>
      </c>
      <c r="BI8" s="177">
        <v>100</v>
      </c>
      <c r="BJ8" s="177">
        <f>BJ6-BJ7</f>
        <v>28899.507120000002</v>
      </c>
      <c r="BK8" s="177">
        <f t="shared" ref="BK8:BK11" si="7">BJ8/$BJ$6*100</f>
        <v>70.67</v>
      </c>
      <c r="BL8" s="177">
        <v>31201.816800000008</v>
      </c>
      <c r="BM8" s="177">
        <v>76.300000000000011</v>
      </c>
      <c r="BN8" s="177">
        <v>16369.77288</v>
      </c>
      <c r="BO8" s="177">
        <v>44.86</v>
      </c>
      <c r="BP8" s="177">
        <v>19778.013600000002</v>
      </c>
      <c r="BQ8" s="177">
        <v>54.2</v>
      </c>
      <c r="BR8" s="177">
        <f>BR6-BR7</f>
        <v>22733.176320000002</v>
      </c>
      <c r="BS8" s="177">
        <f t="shared" ref="BS8:BS11" si="8">BR8/$BR$6*100</f>
        <v>60.440000000000005</v>
      </c>
      <c r="BT8" s="177">
        <v>32347.008000000002</v>
      </c>
      <c r="BU8" s="177">
        <v>86</v>
      </c>
      <c r="BV8" s="177">
        <v>10548.390960000001</v>
      </c>
      <c r="BW8" s="177">
        <v>59.79</v>
      </c>
      <c r="BX8" s="177">
        <v>12773.097600000001</v>
      </c>
      <c r="BY8" s="177">
        <v>72.399999999999991</v>
      </c>
      <c r="BZ8" s="177">
        <f>BZ6-BZ7</f>
        <v>40379.855999999992</v>
      </c>
      <c r="CA8" s="177">
        <f t="shared" ref="CA8:CA11" si="9">BZ8/$BZ$6*100</f>
        <v>85.249999999999986</v>
      </c>
      <c r="CB8" s="177">
        <v>45471.743999999992</v>
      </c>
      <c r="CC8" s="177">
        <v>96</v>
      </c>
      <c r="CD8" s="177">
        <v>18007.136999999999</v>
      </c>
      <c r="CE8" s="177">
        <v>62.33</v>
      </c>
      <c r="CF8" s="177">
        <v>25868.037</v>
      </c>
      <c r="CG8" s="177">
        <v>89.539761163032196</v>
      </c>
      <c r="CH8" s="177">
        <f>CH6-CH7</f>
        <v>28325.776580000005</v>
      </c>
      <c r="CI8" s="177">
        <f t="shared" ref="CI8:CI11" si="10">CH8/$CH$6*100</f>
        <v>61.068516846471596</v>
      </c>
      <c r="CJ8" s="177">
        <v>33065.752000000008</v>
      </c>
      <c r="CK8" s="177">
        <v>80.858012011659525</v>
      </c>
      <c r="CL8" s="177">
        <v>10680.119999999999</v>
      </c>
      <c r="CM8" s="177">
        <v>65.25</v>
      </c>
      <c r="CN8" s="177">
        <v>11523.072</v>
      </c>
      <c r="CO8" s="177">
        <v>70.399999999999991</v>
      </c>
      <c r="CP8" s="177">
        <f>CP6-CP7</f>
        <v>17517.735000000001</v>
      </c>
      <c r="CQ8" s="177">
        <f t="shared" ref="CQ8:CQ11" si="11">CP8/$CP$6*100</f>
        <v>63.749999999999993</v>
      </c>
      <c r="CR8" s="177">
        <v>19290.117600000001</v>
      </c>
      <c r="CS8" s="177">
        <v>70.199999999999989</v>
      </c>
      <c r="CT8" s="177">
        <f>CT6-CT7</f>
        <v>26614.332000000002</v>
      </c>
      <c r="CU8" s="177">
        <f t="shared" ref="CU8:CU11" si="12">CT8/$CT$6*100</f>
        <v>80.400978792822201</v>
      </c>
      <c r="CV8" s="177">
        <v>30838.86</v>
      </c>
      <c r="CW8" s="177">
        <v>93.163132137030999</v>
      </c>
      <c r="CX8" s="177">
        <f>CX6-CX7</f>
        <v>44410.666800000006</v>
      </c>
      <c r="CY8" s="177">
        <f t="shared" ref="CY8:CY11" si="13">CX8/$CX$6*100</f>
        <v>73.550000000000011</v>
      </c>
      <c r="CZ8" s="177">
        <v>46373.068800000001</v>
      </c>
      <c r="DA8" s="177">
        <v>76.8</v>
      </c>
      <c r="DB8" s="177">
        <f>+DB6-DB7</f>
        <v>14318.877023999965</v>
      </c>
      <c r="DC8" s="177">
        <f t="shared" ref="DC8:DC11" si="14">DB8/$DB$6*100</f>
        <v>86.535887857132067</v>
      </c>
      <c r="DD8" s="177">
        <v>12994.610199999999</v>
      </c>
      <c r="DE8" s="177">
        <v>78.532704005318251</v>
      </c>
      <c r="DF8" s="181">
        <f>DF6-DF7</f>
        <v>239783.65247999996</v>
      </c>
      <c r="DG8" s="181">
        <f t="shared" ref="DG8:DG11" si="15">DF8/$DF$6*100</f>
        <v>61.579999999999991</v>
      </c>
      <c r="DH8" s="178">
        <v>276580.59167999995</v>
      </c>
      <c r="DI8" s="180">
        <v>71.029999999999987</v>
      </c>
    </row>
    <row r="9" spans="1:113" ht="15.75" thickBot="1">
      <c r="A9" s="328" t="s">
        <v>150</v>
      </c>
      <c r="B9" s="332">
        <f>B8*'Cote-sal, angajator vs. PFA'!B4/100</f>
        <v>739.98360000000014</v>
      </c>
      <c r="C9" s="332">
        <f t="shared" ref="C9:C11" si="16">B9/$B$6*100</f>
        <v>6.9</v>
      </c>
      <c r="D9" s="177">
        <v>1193.62572</v>
      </c>
      <c r="E9" s="177">
        <v>11.129999999999999</v>
      </c>
      <c r="F9" s="177">
        <f>F8*'Cote-sal, angajator vs. PFA'!F4/100</f>
        <v>25921.367999999999</v>
      </c>
      <c r="G9" s="177">
        <f t="shared" si="0"/>
        <v>8.2499999999999982</v>
      </c>
      <c r="H9" s="177">
        <v>30186.611280000001</v>
      </c>
      <c r="I9" s="177">
        <v>9.6074999999999999</v>
      </c>
      <c r="J9" s="177">
        <v>1651.1760000000004</v>
      </c>
      <c r="K9" s="177">
        <v>12.920000000000003</v>
      </c>
      <c r="L9" s="177">
        <v>1712.5199999999998</v>
      </c>
      <c r="M9" s="177">
        <v>13.399999999999999</v>
      </c>
      <c r="N9" s="177">
        <f>N8*'Cote-sal, angajator vs. PFA'!N4/100</f>
        <v>1488.0368880000001</v>
      </c>
      <c r="O9" s="177">
        <f t="shared" si="1"/>
        <v>15.1593</v>
      </c>
      <c r="P9" s="177">
        <v>1556.4445920000001</v>
      </c>
      <c r="Q9" s="177">
        <v>15.856200000000001</v>
      </c>
      <c r="R9" s="177">
        <v>189.87083999999996</v>
      </c>
      <c r="S9" s="177">
        <v>2.1524377635695817</v>
      </c>
      <c r="T9" s="177">
        <v>1556.4445920000001</v>
      </c>
      <c r="U9" s="177">
        <v>15.856200000000001</v>
      </c>
      <c r="V9" s="177">
        <f>V8*'Cote-sal, angajator vs. PFA'!V4/100</f>
        <v>259664.05535999994</v>
      </c>
      <c r="W9" s="177">
        <f t="shared" si="2"/>
        <v>8.7199999999999989</v>
      </c>
      <c r="X9" s="177">
        <v>347806.89983999997</v>
      </c>
      <c r="Y9" s="177">
        <v>11.68</v>
      </c>
      <c r="Z9" s="177">
        <v>4519.1384495999991</v>
      </c>
      <c r="AA9" s="177">
        <v>9.7811768427614147</v>
      </c>
      <c r="AB9" s="177">
        <v>6354.8982927999996</v>
      </c>
      <c r="AC9" s="177">
        <v>13.754476591692208</v>
      </c>
      <c r="AD9" s="181">
        <f>AD8*'Cote-sal, angajator vs. PFA'!AD4/100</f>
        <v>2980.4865599999994</v>
      </c>
      <c r="AE9" s="177">
        <f t="shared" si="3"/>
        <v>9.7039999999999971</v>
      </c>
      <c r="AF9" s="177">
        <v>4127.9616000000005</v>
      </c>
      <c r="AG9" s="177">
        <v>13.440000000000001</v>
      </c>
      <c r="AH9" s="177">
        <v>2820.5429759999997</v>
      </c>
      <c r="AI9" s="177">
        <v>12.709957713729519</v>
      </c>
      <c r="AJ9" s="177">
        <v>2820.4326000000001</v>
      </c>
      <c r="AK9" s="177">
        <v>12.709460336343485</v>
      </c>
      <c r="AL9" s="177">
        <f>AL8*19/100</f>
        <v>1201.6867680000003</v>
      </c>
      <c r="AM9" s="177">
        <f t="shared" si="4"/>
        <v>9.7660000000000018</v>
      </c>
      <c r="AN9" s="177">
        <v>1707.854067648</v>
      </c>
      <c r="AO9" s="177">
        <v>13.879575999999998</v>
      </c>
      <c r="AP9" s="177">
        <v>5071.5622880000001</v>
      </c>
      <c r="AQ9" s="177">
        <v>12.46770283399217</v>
      </c>
      <c r="AR9" s="177">
        <v>7287.9601239600024</v>
      </c>
      <c r="AS9" s="177">
        <v>17.916396552303972</v>
      </c>
      <c r="AT9" s="177">
        <f>(0.25*8680)+(0.3*(12360-8680))+(0.4*(20600-12360))+(0.45*(AT8-20600))</f>
        <v>7373.9761560000006</v>
      </c>
      <c r="AU9" s="177">
        <f t="shared" si="5"/>
        <v>17.204155131866287</v>
      </c>
      <c r="AV9" s="177">
        <v>12128.524000000001</v>
      </c>
      <c r="AW9" s="177">
        <v>28.296946450902439</v>
      </c>
      <c r="AX9" s="177">
        <v>12994.583999999999</v>
      </c>
      <c r="AY9" s="177">
        <v>13.408642892521049</v>
      </c>
      <c r="AZ9" s="177">
        <v>11904.323999999999</v>
      </c>
      <c r="BA9" s="177">
        <v>12.283642892521049</v>
      </c>
      <c r="BB9" s="177">
        <f>0.2*(BB8-19500)</f>
        <v>256.19159999999977</v>
      </c>
      <c r="BC9" s="177">
        <f t="shared" si="6"/>
        <v>1.1366591241847455</v>
      </c>
      <c r="BD9" s="177">
        <v>0</v>
      </c>
      <c r="BE9" s="177">
        <v>0</v>
      </c>
      <c r="BF9" s="177">
        <v>175249.36799999996</v>
      </c>
      <c r="BG9" s="177">
        <v>40.908226119547216</v>
      </c>
      <c r="BH9" s="177">
        <v>179926.48799999998</v>
      </c>
      <c r="BI9" s="177">
        <v>42</v>
      </c>
      <c r="BJ9" s="177">
        <f>(0.065*(24700-16500))+(0.175*(BJ8-24700))</f>
        <v>1267.9137460000002</v>
      </c>
      <c r="BK9" s="177">
        <f t="shared" si="7"/>
        <v>3.100518775554121</v>
      </c>
      <c r="BL9" s="177">
        <v>1670.8149999999998</v>
      </c>
      <c r="BM9" s="177">
        <v>4.0857615861650718</v>
      </c>
      <c r="BN9" s="177">
        <v>935.16820320000011</v>
      </c>
      <c r="BO9" s="177">
        <v>2.5627506198822716</v>
      </c>
      <c r="BP9" s="177">
        <v>1412.3219040000004</v>
      </c>
      <c r="BQ9" s="177">
        <v>3.8703506198822719</v>
      </c>
      <c r="BR9" s="177">
        <f>BR8*'Cote-sal, angajator vs. PFA'!BR4/100</f>
        <v>4887.6329088000002</v>
      </c>
      <c r="BS9" s="177">
        <f t="shared" si="8"/>
        <v>12.9946</v>
      </c>
      <c r="BT9" s="177">
        <v>3358.8811200000005</v>
      </c>
      <c r="BU9" s="177">
        <v>8.9301544155181229</v>
      </c>
      <c r="BV9" s="177">
        <v>2320.6460112</v>
      </c>
      <c r="BW9" s="177">
        <v>13.153799999999999</v>
      </c>
      <c r="BX9" s="177">
        <v>3321.0053760000005</v>
      </c>
      <c r="BY9" s="177">
        <v>18.824000000000002</v>
      </c>
      <c r="BZ9" s="177">
        <f>(0.2*33800)+(0.4*(BZ8-33800))</f>
        <v>9391.9423999999963</v>
      </c>
      <c r="CA9" s="177">
        <f t="shared" si="9"/>
        <v>19.828279962167269</v>
      </c>
      <c r="CB9" s="177">
        <v>11428.697599999996</v>
      </c>
      <c r="CC9" s="177">
        <v>24.128279962167269</v>
      </c>
      <c r="CD9" s="177">
        <v>4261.9242899999999</v>
      </c>
      <c r="CE9" s="177">
        <v>14.752247455867082</v>
      </c>
      <c r="CF9" s="177">
        <v>6384.3699900000001</v>
      </c>
      <c r="CG9" s="177">
        <v>22.098892315680168</v>
      </c>
      <c r="CH9" s="177">
        <f>(0.365*19822)+(0.42*(CH8-19822))</f>
        <v>10806.616163600002</v>
      </c>
      <c r="CI9" s="177">
        <f t="shared" si="10"/>
        <v>23.298355805931408</v>
      </c>
      <c r="CJ9" s="177">
        <v>3489.3966520000013</v>
      </c>
      <c r="CK9" s="177">
        <v>8.5328673728896476</v>
      </c>
      <c r="CL9" s="177">
        <v>2063.8341999999993</v>
      </c>
      <c r="CM9" s="177">
        <v>12.608957722385139</v>
      </c>
      <c r="CN9" s="177">
        <v>2304.0549999999998</v>
      </c>
      <c r="CO9" s="177">
        <v>14.076582355816225</v>
      </c>
      <c r="CP9" s="177">
        <f>(0.2*12450)+(0.25*(CP8-12450))</f>
        <v>3756.9337500000001</v>
      </c>
      <c r="CQ9" s="177">
        <f t="shared" si="11"/>
        <v>13.672117232193544</v>
      </c>
      <c r="CR9" s="177">
        <v>4200.0294000000004</v>
      </c>
      <c r="CS9" s="177">
        <v>15.284617232193545</v>
      </c>
      <c r="CT9" s="177">
        <f>CT8*20/100</f>
        <v>5322.8663999999999</v>
      </c>
      <c r="CU9" s="177">
        <f t="shared" si="12"/>
        <v>16.080195758564436</v>
      </c>
      <c r="CV9" s="177">
        <v>6167.7720000000008</v>
      </c>
      <c r="CW9" s="177">
        <v>18.632626427406201</v>
      </c>
      <c r="CX9" s="177">
        <f>(0.08*(13172-11265))+(0.1*(15080-13173))+(0.12*(16988-15081))+(0.14*(18896-16989))+(0.16*(20804-18897))+(0.18*(22712-20805))+(0.2*(24620-22713))+(0.22*(26528-24621))+(0.24*(28436-26529))+(0.26*(30344-28437))+(0.28*(32252-30345))+(0.3*(34160-32253))+(0.32*(36068-34161))+(0.34*(37976-36069))+(0.36*(39854-37977))+(0.38*(41792-39855))+(0.39*(CX8-41793))</f>
        <v>8039.2500520000031</v>
      </c>
      <c r="CY9" s="177">
        <f t="shared" si="13"/>
        <v>13.314072585025905</v>
      </c>
      <c r="CZ9" s="177">
        <v>8804.5868320000009</v>
      </c>
      <c r="DA9" s="177">
        <v>14.581572585025901</v>
      </c>
      <c r="DB9" s="177">
        <f>0.15*(DB8-8500)</f>
        <v>872.83155359999466</v>
      </c>
      <c r="DC9" s="177">
        <f t="shared" si="14"/>
        <v>5.2749425331258211</v>
      </c>
      <c r="DD9" s="177">
        <v>674.19152999999983</v>
      </c>
      <c r="DE9" s="177">
        <v>4.0744649553537693</v>
      </c>
      <c r="DF9" s="181">
        <v>0</v>
      </c>
      <c r="DG9" s="181">
        <f t="shared" si="15"/>
        <v>0</v>
      </c>
      <c r="DH9" s="180">
        <v>0</v>
      </c>
      <c r="DI9" s="180">
        <v>0</v>
      </c>
    </row>
    <row r="10" spans="1:113" ht="15.75" thickBot="1">
      <c r="A10" s="328" t="s">
        <v>167</v>
      </c>
      <c r="B10" s="332">
        <f>B7+B9</f>
        <v>4064.5476000000003</v>
      </c>
      <c r="C10" s="332">
        <f t="shared" si="16"/>
        <v>37.9</v>
      </c>
      <c r="D10" s="177">
        <v>3960.5209200000004</v>
      </c>
      <c r="E10" s="177">
        <v>36.929999999999993</v>
      </c>
      <c r="F10" s="177">
        <f>F7+F9</f>
        <v>167310.64800000002</v>
      </c>
      <c r="G10" s="177">
        <f t="shared" si="0"/>
        <v>53.25</v>
      </c>
      <c r="H10" s="177">
        <v>143140.93608000001</v>
      </c>
      <c r="I10" s="177">
        <v>45.557499999999997</v>
      </c>
      <c r="J10" s="177">
        <v>6175.2960000000003</v>
      </c>
      <c r="K10" s="177">
        <v>48.32</v>
      </c>
      <c r="L10" s="177">
        <v>5929.92</v>
      </c>
      <c r="M10" s="177">
        <v>46.400000000000006</v>
      </c>
      <c r="N10" s="177">
        <f>N7+N9</f>
        <v>4834.311287999999</v>
      </c>
      <c r="O10" s="177">
        <f t="shared" si="1"/>
        <v>49.249299999999991</v>
      </c>
      <c r="P10" s="177">
        <v>4605.2941920000003</v>
      </c>
      <c r="Q10" s="177">
        <v>46.916200000000003</v>
      </c>
      <c r="R10" s="177">
        <v>4265.2652400000006</v>
      </c>
      <c r="S10" s="177">
        <v>48.352437763569583</v>
      </c>
      <c r="T10" s="177">
        <v>4605.2941920000003</v>
      </c>
      <c r="U10" s="177">
        <v>46.916200000000003</v>
      </c>
      <c r="V10" s="177">
        <f>V9+V7</f>
        <v>1614562.50936</v>
      </c>
      <c r="W10" s="177">
        <f t="shared" si="2"/>
        <v>54.22</v>
      </c>
      <c r="X10" s="177">
        <v>1151812.5758400001</v>
      </c>
      <c r="Y10" s="177">
        <v>38.680000000000007</v>
      </c>
      <c r="Z10" s="177">
        <v>22524.213729599996</v>
      </c>
      <c r="AA10" s="177">
        <v>48.75117684276141</v>
      </c>
      <c r="AB10" s="177">
        <v>19110.465172799999</v>
      </c>
      <c r="AC10" s="177">
        <v>41.362494530154279</v>
      </c>
      <c r="AD10" s="181">
        <f>AD9+AD7</f>
        <v>15066.44556</v>
      </c>
      <c r="AE10" s="177">
        <f t="shared" si="3"/>
        <v>49.053999999999995</v>
      </c>
      <c r="AF10" s="177">
        <v>9042.2016000000003</v>
      </c>
      <c r="AG10" s="177">
        <v>29.439999999999998</v>
      </c>
      <c r="AH10" s="177">
        <v>11297.734175999998</v>
      </c>
      <c r="AI10" s="177">
        <v>50.909957713729511</v>
      </c>
      <c r="AJ10" s="177">
        <v>11297.623799999999</v>
      </c>
      <c r="AK10" s="177">
        <v>50.909460336343479</v>
      </c>
      <c r="AL10" s="177">
        <f>AL7+AL9</f>
        <v>7181.8195680000008</v>
      </c>
      <c r="AM10" s="177">
        <f t="shared" si="4"/>
        <v>58.366000000000007</v>
      </c>
      <c r="AN10" s="177">
        <v>5023.9484484480008</v>
      </c>
      <c r="AO10" s="177">
        <v>40.829176000000004</v>
      </c>
      <c r="AP10" s="177">
        <v>20854.471088000002</v>
      </c>
      <c r="AQ10" s="177">
        <v>51.267702833992168</v>
      </c>
      <c r="AR10" s="177">
        <v>17925.152523960001</v>
      </c>
      <c r="AS10" s="177">
        <v>44.066396552303964</v>
      </c>
      <c r="AT10" s="177">
        <f>AT7+AT9</f>
        <v>27848.962476000004</v>
      </c>
      <c r="AU10" s="177">
        <f t="shared" si="5"/>
        <v>64.974155131866283</v>
      </c>
      <c r="AV10" s="177">
        <v>21558.076000000001</v>
      </c>
      <c r="AW10" s="177">
        <v>50.296946450902439</v>
      </c>
      <c r="AX10" s="177">
        <v>44200.248000000007</v>
      </c>
      <c r="AY10" s="177">
        <v>45.608642892521054</v>
      </c>
      <c r="AZ10" s="177">
        <v>47471.028000000006</v>
      </c>
      <c r="BA10" s="177">
        <v>48.983642892521054</v>
      </c>
      <c r="BB10" s="177">
        <f>BB7+BB9</f>
        <v>2014.2335999999996</v>
      </c>
      <c r="BC10" s="177">
        <f t="shared" si="6"/>
        <v>8.9366591241847448</v>
      </c>
      <c r="BD10" s="177">
        <v>8271.8130000000001</v>
      </c>
      <c r="BE10" s="177">
        <v>36.700000000000003</v>
      </c>
      <c r="BF10" s="177">
        <v>186385.36799999996</v>
      </c>
      <c r="BG10" s="177">
        <v>43.507687739672882</v>
      </c>
      <c r="BH10" s="177">
        <v>179926.48799999998</v>
      </c>
      <c r="BI10" s="177">
        <v>42</v>
      </c>
      <c r="BJ10" s="177">
        <f>BJ7+BJ9</f>
        <v>13262.006626000002</v>
      </c>
      <c r="BK10" s="177">
        <f t="shared" si="7"/>
        <v>32.430518775554127</v>
      </c>
      <c r="BL10" s="177">
        <v>11362.5982</v>
      </c>
      <c r="BM10" s="177">
        <v>27.785761586165069</v>
      </c>
      <c r="BN10" s="177">
        <v>21056.195323200001</v>
      </c>
      <c r="BO10" s="177">
        <v>57.702750619882273</v>
      </c>
      <c r="BP10" s="177">
        <v>18125.108304000001</v>
      </c>
      <c r="BQ10" s="177">
        <v>49.670350619882271</v>
      </c>
      <c r="BR10" s="177">
        <f>BR7+BR9</f>
        <v>19767.256588800003</v>
      </c>
      <c r="BS10" s="177">
        <f t="shared" si="8"/>
        <v>52.554600000000008</v>
      </c>
      <c r="BT10" s="177">
        <v>8624.6731200000013</v>
      </c>
      <c r="BU10" s="177">
        <v>22.930154415518121</v>
      </c>
      <c r="BV10" s="177">
        <v>9414.6550512000013</v>
      </c>
      <c r="BW10" s="177">
        <v>53.363800000000005</v>
      </c>
      <c r="BX10" s="177">
        <v>8190.3077760000015</v>
      </c>
      <c r="BY10" s="177">
        <v>46.424000000000007</v>
      </c>
      <c r="BZ10" s="177">
        <f>BZ7+BZ9</f>
        <v>16378.486399999994</v>
      </c>
      <c r="CA10" s="177">
        <f t="shared" si="9"/>
        <v>34.578279962167272</v>
      </c>
      <c r="CB10" s="177">
        <v>13323.353599999995</v>
      </c>
      <c r="CC10" s="177">
        <v>28.128279962167269</v>
      </c>
      <c r="CD10" s="177">
        <v>15144.78729</v>
      </c>
      <c r="CE10" s="177">
        <v>52.422247455867087</v>
      </c>
      <c r="CF10" s="177">
        <v>9406.3329900000008</v>
      </c>
      <c r="CG10" s="177">
        <v>32.559131152647979</v>
      </c>
      <c r="CH10" s="177">
        <f>CH7+CH9</f>
        <v>28864.439583600004</v>
      </c>
      <c r="CI10" s="177">
        <f t="shared" si="10"/>
        <v>62.229838959459805</v>
      </c>
      <c r="CJ10" s="177">
        <v>16807.244652000001</v>
      </c>
      <c r="CK10" s="177">
        <v>41.099938992898643</v>
      </c>
      <c r="CL10" s="177">
        <v>7751.7141999999994</v>
      </c>
      <c r="CM10" s="177">
        <v>47.358957722385135</v>
      </c>
      <c r="CN10" s="177">
        <v>7148.9830000000002</v>
      </c>
      <c r="CO10" s="177">
        <v>43.67658235581623</v>
      </c>
      <c r="CP10" s="177">
        <f>CP7+CP9</f>
        <v>13717.998750000001</v>
      </c>
      <c r="CQ10" s="177">
        <f t="shared" si="11"/>
        <v>49.922117232193543</v>
      </c>
      <c r="CR10" s="177">
        <v>12388.711800000001</v>
      </c>
      <c r="CS10" s="177">
        <v>45.084617232193544</v>
      </c>
      <c r="CT10" s="177">
        <f>CT7+CT9</f>
        <v>11810.5344</v>
      </c>
      <c r="CU10" s="177">
        <f t="shared" si="12"/>
        <v>35.679216965742256</v>
      </c>
      <c r="CV10" s="177">
        <v>8430.9120000000003</v>
      </c>
      <c r="CW10" s="177">
        <v>25.469494290375206</v>
      </c>
      <c r="CX10" s="177">
        <f>CX7+CX9</f>
        <v>24010.183252000006</v>
      </c>
      <c r="CY10" s="177">
        <f t="shared" si="13"/>
        <v>39.764072585025907</v>
      </c>
      <c r="CZ10" s="177">
        <v>22813.118032000006</v>
      </c>
      <c r="DA10" s="177">
        <v>37.781572585025906</v>
      </c>
      <c r="DB10" s="177">
        <f>DB7+DB9</f>
        <v>3100.7045295999906</v>
      </c>
      <c r="DC10" s="177">
        <f t="shared" si="14"/>
        <v>18.739054675993764</v>
      </c>
      <c r="DD10" s="177">
        <v>4226.33133</v>
      </c>
      <c r="DE10" s="177">
        <v>25.54176095003551</v>
      </c>
      <c r="DF10" s="181">
        <f>DF9+DF7</f>
        <v>149601.94752000002</v>
      </c>
      <c r="DG10" s="181">
        <f t="shared" si="15"/>
        <v>38.42</v>
      </c>
      <c r="DH10" s="178">
        <v>112805.00832000001</v>
      </c>
      <c r="DI10" s="180">
        <v>28.970000000000002</v>
      </c>
    </row>
    <row r="11" spans="1:113">
      <c r="A11" s="328" t="s">
        <v>156</v>
      </c>
      <c r="B11" s="332">
        <f>B6-B10</f>
        <v>6659.8524000000016</v>
      </c>
      <c r="C11" s="332">
        <f t="shared" si="16"/>
        <v>62.100000000000009</v>
      </c>
      <c r="D11" s="177">
        <v>6763.8790800000006</v>
      </c>
      <c r="E11" s="177">
        <v>63.069999999999993</v>
      </c>
      <c r="F11" s="177">
        <f>F6-F10</f>
        <v>146887.75200000001</v>
      </c>
      <c r="G11" s="177">
        <f t="shared" si="0"/>
        <v>46.75</v>
      </c>
      <c r="H11" s="177">
        <v>171057.46392000001</v>
      </c>
      <c r="I11" s="177">
        <v>54.442499999999995</v>
      </c>
      <c r="J11" s="177">
        <v>6604.7039999999997</v>
      </c>
      <c r="K11" s="177">
        <v>51.679999999999993</v>
      </c>
      <c r="L11" s="177">
        <v>6850.08</v>
      </c>
      <c r="M11" s="177">
        <v>53.6</v>
      </c>
      <c r="N11" s="177">
        <f>N6-N10</f>
        <v>4981.688712000001</v>
      </c>
      <c r="O11" s="177">
        <f t="shared" si="1"/>
        <v>50.750700000000016</v>
      </c>
      <c r="P11" s="177">
        <v>5210.7058079999997</v>
      </c>
      <c r="Q11" s="177">
        <v>53.083799999999989</v>
      </c>
      <c r="R11" s="177">
        <v>4555.9347600000001</v>
      </c>
      <c r="S11" s="177">
        <v>51.64756223643041</v>
      </c>
      <c r="T11" s="177">
        <v>5210.7058079999997</v>
      </c>
      <c r="U11" s="177">
        <v>53.083799999999989</v>
      </c>
      <c r="V11" s="177">
        <f>V6-V10</f>
        <v>1363236.2906399998</v>
      </c>
      <c r="W11" s="177">
        <f t="shared" si="2"/>
        <v>45.78</v>
      </c>
      <c r="X11" s="177">
        <v>1825986.2241599998</v>
      </c>
      <c r="Y11" s="177">
        <v>61.319999999999993</v>
      </c>
      <c r="Z11" s="177">
        <v>23678.186270399998</v>
      </c>
      <c r="AA11" s="177">
        <v>51.24882315723859</v>
      </c>
      <c r="AB11" s="177">
        <v>27091.934827199995</v>
      </c>
      <c r="AC11" s="177">
        <v>58.637505469845721</v>
      </c>
      <c r="AD11" s="181">
        <f>AD6-AD10</f>
        <v>15647.55444</v>
      </c>
      <c r="AE11" s="177">
        <f t="shared" si="3"/>
        <v>50.946000000000005</v>
      </c>
      <c r="AF11" s="177">
        <v>21671.7984</v>
      </c>
      <c r="AG11" s="177">
        <v>70.56</v>
      </c>
      <c r="AH11" s="177">
        <v>10893.865824</v>
      </c>
      <c r="AI11" s="177">
        <v>49.090042286270489</v>
      </c>
      <c r="AJ11" s="177">
        <v>10893.976199999999</v>
      </c>
      <c r="AK11" s="177">
        <v>49.090539663656521</v>
      </c>
      <c r="AL11" s="177">
        <f>AL6-AL10</f>
        <v>5122.9804320000003</v>
      </c>
      <c r="AM11" s="177">
        <f t="shared" si="4"/>
        <v>41.634</v>
      </c>
      <c r="AN11" s="177">
        <v>7280.8515515520003</v>
      </c>
      <c r="AO11" s="177">
        <v>59.170823999999996</v>
      </c>
      <c r="AP11" s="177">
        <v>19823.128912000004</v>
      </c>
      <c r="AQ11" s="177">
        <v>48.732297166007832</v>
      </c>
      <c r="AR11" s="177">
        <v>22752.447476040004</v>
      </c>
      <c r="AS11" s="177">
        <v>55.933603447696036</v>
      </c>
      <c r="AT11" s="177">
        <f>AT6-AT10</f>
        <v>15012.637524000002</v>
      </c>
      <c r="AU11" s="177">
        <f t="shared" si="5"/>
        <v>35.025844868133717</v>
      </c>
      <c r="AV11" s="177">
        <v>21303.524000000005</v>
      </c>
      <c r="AW11" s="177">
        <v>49.703053549097561</v>
      </c>
      <c r="AX11" s="177">
        <v>52711.751999999993</v>
      </c>
      <c r="AY11" s="177">
        <v>54.391357107478946</v>
      </c>
      <c r="AZ11" s="177">
        <v>49440.971999999994</v>
      </c>
      <c r="BA11" s="177">
        <v>51.016357107478946</v>
      </c>
      <c r="BB11" s="177">
        <f>BB6-BB10</f>
        <v>20524.7664</v>
      </c>
      <c r="BC11" s="177">
        <f t="shared" si="6"/>
        <v>91.063340875815257</v>
      </c>
      <c r="BD11" s="177">
        <v>14267.187</v>
      </c>
      <c r="BE11" s="177">
        <v>63.3</v>
      </c>
      <c r="BF11" s="177">
        <v>242011.03200000001</v>
      </c>
      <c r="BG11" s="177">
        <v>56.492312260327125</v>
      </c>
      <c r="BH11" s="177">
        <v>248469.91199999998</v>
      </c>
      <c r="BI11" s="177">
        <v>57.999999999999993</v>
      </c>
      <c r="BJ11" s="177">
        <f>BJ6-BJ10</f>
        <v>27631.593374000004</v>
      </c>
      <c r="BK11" s="177">
        <f t="shared" si="7"/>
        <v>67.56948122444588</v>
      </c>
      <c r="BL11" s="177">
        <v>29531.001800000005</v>
      </c>
      <c r="BM11" s="177">
        <v>72.214238413834934</v>
      </c>
      <c r="BN11" s="177">
        <v>15434.604676800001</v>
      </c>
      <c r="BO11" s="177">
        <v>42.297249380117727</v>
      </c>
      <c r="BP11" s="177">
        <v>18365.691696000002</v>
      </c>
      <c r="BQ11" s="177">
        <v>50.329649380117722</v>
      </c>
      <c r="BR11" s="177">
        <f>BR6-BR10</f>
        <v>17845.5434112</v>
      </c>
      <c r="BS11" s="177">
        <f t="shared" si="8"/>
        <v>47.445399999999999</v>
      </c>
      <c r="BT11" s="177">
        <v>28988.126880000003</v>
      </c>
      <c r="BU11" s="177">
        <v>77.069845584481882</v>
      </c>
      <c r="BV11" s="177">
        <v>8227.7449488000002</v>
      </c>
      <c r="BW11" s="177">
        <v>46.636200000000002</v>
      </c>
      <c r="BX11" s="177">
        <v>9452.092224</v>
      </c>
      <c r="BY11" s="177">
        <v>53.575999999999993</v>
      </c>
      <c r="BZ11" s="177">
        <f>BZ6-BZ10</f>
        <v>30987.9136</v>
      </c>
      <c r="CA11" s="177">
        <f t="shared" si="9"/>
        <v>65.421720037832728</v>
      </c>
      <c r="CB11" s="177">
        <v>34043.046399999999</v>
      </c>
      <c r="CC11" s="177">
        <v>71.871720037832731</v>
      </c>
      <c r="CD11" s="177">
        <v>13745.21271</v>
      </c>
      <c r="CE11" s="177">
        <v>47.57775254413292</v>
      </c>
      <c r="CF11" s="177">
        <v>19483.667009999997</v>
      </c>
      <c r="CG11" s="177">
        <v>67.440868847352021</v>
      </c>
      <c r="CH11" s="177">
        <f>CH6-CH10</f>
        <v>17519.160416400002</v>
      </c>
      <c r="CI11" s="177">
        <f t="shared" si="10"/>
        <v>37.770161040540188</v>
      </c>
      <c r="CJ11" s="177">
        <v>29576.355348000005</v>
      </c>
      <c r="CK11" s="177">
        <v>72.325144638769885</v>
      </c>
      <c r="CL11" s="177">
        <v>8616.2858000000015</v>
      </c>
      <c r="CM11" s="177">
        <v>52.641042277614872</v>
      </c>
      <c r="CN11" s="177">
        <v>9219.0169999999998</v>
      </c>
      <c r="CO11" s="177">
        <v>56.32341764418377</v>
      </c>
      <c r="CP11" s="177">
        <f>CP6-CP10</f>
        <v>13760.801250000002</v>
      </c>
      <c r="CQ11" s="177">
        <f t="shared" si="11"/>
        <v>50.077882767806457</v>
      </c>
      <c r="CR11" s="177">
        <v>15090.088200000002</v>
      </c>
      <c r="CS11" s="177">
        <v>54.915382767806456</v>
      </c>
      <c r="CT11" s="177">
        <f>CT6-CT10</f>
        <v>21291.4656</v>
      </c>
      <c r="CU11" s="177">
        <f t="shared" si="12"/>
        <v>64.320783034257744</v>
      </c>
      <c r="CV11" s="177">
        <v>24671.088</v>
      </c>
      <c r="CW11" s="177">
        <v>74.530505709624791</v>
      </c>
      <c r="CX11" s="177">
        <f>CX6-CX10</f>
        <v>36371.416748000003</v>
      </c>
      <c r="CY11" s="177">
        <f t="shared" si="13"/>
        <v>60.2359274149741</v>
      </c>
      <c r="CZ11" s="177">
        <v>37568.481968</v>
      </c>
      <c r="DA11" s="177">
        <v>62.218427414974087</v>
      </c>
      <c r="DB11" s="177">
        <f>DB6-DB10</f>
        <v>13446.045470399969</v>
      </c>
      <c r="DC11" s="177">
        <f t="shared" si="14"/>
        <v>81.260945324006244</v>
      </c>
      <c r="DD11" s="177">
        <v>12320.418669999999</v>
      </c>
      <c r="DE11" s="177">
        <v>74.45823904996449</v>
      </c>
      <c r="DF11" s="181">
        <f>DF6-DF10</f>
        <v>239783.65247999996</v>
      </c>
      <c r="DG11" s="181">
        <f t="shared" si="15"/>
        <v>61.579999999999991</v>
      </c>
      <c r="DH11" s="178">
        <v>276580.59167999995</v>
      </c>
      <c r="DI11" s="180">
        <v>71.029999999999987</v>
      </c>
    </row>
    <row r="12" spans="1:113" ht="25.5">
      <c r="A12" s="329" t="s">
        <v>250</v>
      </c>
      <c r="B12" s="394">
        <v>23</v>
      </c>
      <c r="C12" s="394"/>
      <c r="D12" s="395">
        <v>19</v>
      </c>
      <c r="E12" s="389"/>
      <c r="F12" s="366">
        <v>7</v>
      </c>
      <c r="G12" s="366"/>
      <c r="H12" s="386">
        <v>8</v>
      </c>
      <c r="I12" s="387"/>
      <c r="J12" s="386">
        <v>17</v>
      </c>
      <c r="K12" s="387"/>
      <c r="L12" s="386">
        <v>7</v>
      </c>
      <c r="M12" s="387"/>
      <c r="N12" s="366">
        <v>13</v>
      </c>
      <c r="O12" s="366"/>
      <c r="P12" s="386">
        <v>5</v>
      </c>
      <c r="Q12" s="387"/>
      <c r="R12" s="386">
        <v>16</v>
      </c>
      <c r="S12" s="387"/>
      <c r="T12" s="386">
        <v>5</v>
      </c>
      <c r="U12" s="387"/>
      <c r="V12" s="366">
        <v>5</v>
      </c>
      <c r="W12" s="366"/>
      <c r="X12" s="386">
        <v>16</v>
      </c>
      <c r="Y12" s="387"/>
      <c r="Z12" s="386">
        <v>15</v>
      </c>
      <c r="AA12" s="387"/>
      <c r="AB12" s="386">
        <v>13</v>
      </c>
      <c r="AC12" s="387"/>
      <c r="AD12" s="366">
        <v>14</v>
      </c>
      <c r="AE12" s="366"/>
      <c r="AF12" s="386">
        <v>22</v>
      </c>
      <c r="AG12" s="387"/>
      <c r="AH12" s="386">
        <v>11</v>
      </c>
      <c r="AI12" s="387"/>
      <c r="AJ12" s="386">
        <v>1</v>
      </c>
      <c r="AK12" s="387"/>
      <c r="AL12" s="366">
        <v>3</v>
      </c>
      <c r="AM12" s="366"/>
      <c r="AN12" s="386">
        <v>15</v>
      </c>
      <c r="AO12" s="387"/>
      <c r="AP12" s="386">
        <v>10</v>
      </c>
      <c r="AQ12" s="387"/>
      <c r="AR12" s="386">
        <v>10</v>
      </c>
      <c r="AS12" s="387"/>
      <c r="AT12" s="366">
        <v>1</v>
      </c>
      <c r="AU12" s="366"/>
      <c r="AV12" s="386">
        <v>2</v>
      </c>
      <c r="AW12" s="387"/>
      <c r="AX12" s="386">
        <v>19</v>
      </c>
      <c r="AY12" s="387"/>
      <c r="AZ12" s="386">
        <v>4</v>
      </c>
      <c r="BA12" s="387"/>
      <c r="BB12" s="366">
        <v>28</v>
      </c>
      <c r="BC12" s="366"/>
      <c r="BD12" s="386">
        <v>20</v>
      </c>
      <c r="BE12" s="387"/>
      <c r="BF12" s="386">
        <v>20</v>
      </c>
      <c r="BG12" s="387"/>
      <c r="BH12" s="386">
        <v>12</v>
      </c>
      <c r="BI12" s="387"/>
      <c r="BJ12" s="366">
        <v>26</v>
      </c>
      <c r="BK12" s="366"/>
      <c r="BL12" s="386">
        <v>25</v>
      </c>
      <c r="BM12" s="387"/>
      <c r="BN12" s="386">
        <v>4</v>
      </c>
      <c r="BO12" s="387"/>
      <c r="BP12" s="386">
        <v>3</v>
      </c>
      <c r="BQ12" s="387"/>
      <c r="BR12" s="366">
        <v>8</v>
      </c>
      <c r="BS12" s="366"/>
      <c r="BT12" s="386">
        <v>28</v>
      </c>
      <c r="BU12" s="387"/>
      <c r="BV12" s="386">
        <v>6</v>
      </c>
      <c r="BW12" s="387"/>
      <c r="BX12" s="386">
        <v>6</v>
      </c>
      <c r="BY12" s="387"/>
      <c r="BZ12" s="366">
        <v>25</v>
      </c>
      <c r="CA12" s="366"/>
      <c r="CB12" s="386">
        <v>24</v>
      </c>
      <c r="CC12" s="387"/>
      <c r="CD12" s="386">
        <v>9</v>
      </c>
      <c r="CE12" s="387"/>
      <c r="CF12" s="386">
        <v>21</v>
      </c>
      <c r="CG12" s="387"/>
      <c r="CH12" s="366">
        <v>2</v>
      </c>
      <c r="CI12" s="366"/>
      <c r="CJ12" s="386">
        <v>14</v>
      </c>
      <c r="CK12" s="387"/>
      <c r="CL12" s="386">
        <v>18</v>
      </c>
      <c r="CM12" s="387"/>
      <c r="CN12" s="386">
        <v>11</v>
      </c>
      <c r="CO12" s="387"/>
      <c r="CP12" s="366">
        <v>12</v>
      </c>
      <c r="CQ12" s="366"/>
      <c r="CR12" s="386">
        <v>9</v>
      </c>
      <c r="CS12" s="387"/>
      <c r="CT12" s="366">
        <v>24</v>
      </c>
      <c r="CU12" s="366"/>
      <c r="CV12" s="386">
        <v>27</v>
      </c>
      <c r="CW12" s="387"/>
      <c r="CX12" s="366">
        <v>21</v>
      </c>
      <c r="CY12" s="366"/>
      <c r="CZ12" s="386">
        <v>17</v>
      </c>
      <c r="DA12" s="387"/>
      <c r="DB12" s="366">
        <v>27</v>
      </c>
      <c r="DC12" s="366"/>
      <c r="DD12" s="386">
        <v>26</v>
      </c>
      <c r="DE12" s="387"/>
      <c r="DF12" s="366">
        <v>22</v>
      </c>
      <c r="DG12" s="366"/>
      <c r="DH12" s="397">
        <v>23</v>
      </c>
      <c r="DI12" s="398"/>
    </row>
  </sheetData>
  <mergeCells count="140">
    <mergeCell ref="AF12:AG12"/>
    <mergeCell ref="AD3:AG3"/>
    <mergeCell ref="AB12:AC12"/>
    <mergeCell ref="Z12:AA12"/>
    <mergeCell ref="AN12:AO12"/>
    <mergeCell ref="AL3:AO3"/>
    <mergeCell ref="AH3:AK3"/>
    <mergeCell ref="AH5:AI5"/>
    <mergeCell ref="AJ5:AK5"/>
    <mergeCell ref="AJ12:AK12"/>
    <mergeCell ref="AH12:AI12"/>
    <mergeCell ref="AF5:AG5"/>
    <mergeCell ref="AL5:AM5"/>
    <mergeCell ref="AN5:AO5"/>
    <mergeCell ref="AV12:AW12"/>
    <mergeCell ref="AT3:AW3"/>
    <mergeCell ref="AP3:AS3"/>
    <mergeCell ref="AP5:AQ5"/>
    <mergeCell ref="AR5:AS5"/>
    <mergeCell ref="AP12:AQ12"/>
    <mergeCell ref="AR12:AS12"/>
    <mergeCell ref="BB3:BE3"/>
    <mergeCell ref="AX3:BA3"/>
    <mergeCell ref="AX5:AY5"/>
    <mergeCell ref="AZ5:BA5"/>
    <mergeCell ref="AZ12:BA12"/>
    <mergeCell ref="AX12:AY12"/>
    <mergeCell ref="BB5:BC5"/>
    <mergeCell ref="BD5:BE5"/>
    <mergeCell ref="AT5:AU5"/>
    <mergeCell ref="AV5:AW5"/>
    <mergeCell ref="BJ3:BM3"/>
    <mergeCell ref="BF3:BI3"/>
    <mergeCell ref="BF5:BG5"/>
    <mergeCell ref="BH5:BI5"/>
    <mergeCell ref="BF12:BG12"/>
    <mergeCell ref="BH12:BI12"/>
    <mergeCell ref="BR3:BU3"/>
    <mergeCell ref="BN3:BQ3"/>
    <mergeCell ref="BN5:BO5"/>
    <mergeCell ref="BP5:BQ5"/>
    <mergeCell ref="BP12:BQ12"/>
    <mergeCell ref="BN12:BO12"/>
    <mergeCell ref="BT5:BU5"/>
    <mergeCell ref="BJ5:BK5"/>
    <mergeCell ref="BL5:BM5"/>
    <mergeCell ref="BR5:BS5"/>
    <mergeCell ref="BX12:BY12"/>
    <mergeCell ref="CH3:CK3"/>
    <mergeCell ref="CD3:CG3"/>
    <mergeCell ref="CD5:CE5"/>
    <mergeCell ref="CF5:CG5"/>
    <mergeCell ref="CD12:CE12"/>
    <mergeCell ref="CF12:CG12"/>
    <mergeCell ref="BZ5:CA5"/>
    <mergeCell ref="CB5:CC5"/>
    <mergeCell ref="CH5:CI5"/>
    <mergeCell ref="CJ5:CK5"/>
    <mergeCell ref="CX3:DA3"/>
    <mergeCell ref="DH12:DI12"/>
    <mergeCell ref="DF5:DG5"/>
    <mergeCell ref="DH5:DI5"/>
    <mergeCell ref="DF3:DI3"/>
    <mergeCell ref="DD12:DE12"/>
    <mergeCell ref="DB3:DE3"/>
    <mergeCell ref="CZ12:DA12"/>
    <mergeCell ref="DB5:DC5"/>
    <mergeCell ref="DD5:DE5"/>
    <mergeCell ref="B12:C12"/>
    <mergeCell ref="F12:G12"/>
    <mergeCell ref="N12:O12"/>
    <mergeCell ref="V12:W12"/>
    <mergeCell ref="D12:E12"/>
    <mergeCell ref="N5:O5"/>
    <mergeCell ref="P5:Q5"/>
    <mergeCell ref="CT3:CW3"/>
    <mergeCell ref="CT5:CU5"/>
    <mergeCell ref="CV5:CW5"/>
    <mergeCell ref="CP5:CQ5"/>
    <mergeCell ref="CR5:CS5"/>
    <mergeCell ref="CP3:CS3"/>
    <mergeCell ref="CR12:CS12"/>
    <mergeCell ref="CL5:CM5"/>
    <mergeCell ref="CL3:CO3"/>
    <mergeCell ref="CN5:CO5"/>
    <mergeCell ref="CN12:CO12"/>
    <mergeCell ref="CL12:CM12"/>
    <mergeCell ref="BZ3:CC3"/>
    <mergeCell ref="BV3:BY3"/>
    <mergeCell ref="BV5:BW5"/>
    <mergeCell ref="BX5:BY5"/>
    <mergeCell ref="BV12:BW12"/>
    <mergeCell ref="R3:U3"/>
    <mergeCell ref="V3:Y3"/>
    <mergeCell ref="DF12:DG12"/>
    <mergeCell ref="BZ12:CA12"/>
    <mergeCell ref="CH12:CI12"/>
    <mergeCell ref="CP12:CQ12"/>
    <mergeCell ref="BB12:BC12"/>
    <mergeCell ref="BJ12:BK12"/>
    <mergeCell ref="BR12:BS12"/>
    <mergeCell ref="CJ12:CK12"/>
    <mergeCell ref="CB12:CC12"/>
    <mergeCell ref="BT12:BU12"/>
    <mergeCell ref="BL12:BM12"/>
    <mergeCell ref="R5:S5"/>
    <mergeCell ref="T5:U5"/>
    <mergeCell ref="CV12:CW12"/>
    <mergeCell ref="BD12:BE12"/>
    <mergeCell ref="V5:W5"/>
    <mergeCell ref="X5:Y5"/>
    <mergeCell ref="Z5:AA5"/>
    <mergeCell ref="AB5:AC5"/>
    <mergeCell ref="AD5:AE5"/>
    <mergeCell ref="CX5:CY5"/>
    <mergeCell ref="CZ5:DA5"/>
    <mergeCell ref="B3:E3"/>
    <mergeCell ref="CT12:CU12"/>
    <mergeCell ref="CX12:CY12"/>
    <mergeCell ref="DB12:DC12"/>
    <mergeCell ref="AD12:AE12"/>
    <mergeCell ref="AL12:AM12"/>
    <mergeCell ref="AT12:AU12"/>
    <mergeCell ref="R12:S12"/>
    <mergeCell ref="X12:Y12"/>
    <mergeCell ref="T12:U12"/>
    <mergeCell ref="B5:C5"/>
    <mergeCell ref="D5:E5"/>
    <mergeCell ref="Z3:AC3"/>
    <mergeCell ref="N3:Q3"/>
    <mergeCell ref="J12:K12"/>
    <mergeCell ref="H12:I12"/>
    <mergeCell ref="J3:M3"/>
    <mergeCell ref="P12:Q12"/>
    <mergeCell ref="L12:M12"/>
    <mergeCell ref="F3:I3"/>
    <mergeCell ref="F5:G5"/>
    <mergeCell ref="H5:I5"/>
    <mergeCell ref="J5:K5"/>
    <mergeCell ref="L5:M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Cote-sal, angajator vs. PFA</vt:lpstr>
      <vt:lpstr>Comparatie salariati vs. PFA </vt:lpstr>
      <vt:lpstr>PFA</vt:lpstr>
      <vt:lpstr>Ex. presiune fiscala salariat</vt:lpstr>
      <vt:lpstr>Ex. presiune fiscala PFA</vt:lpstr>
      <vt:lpstr>Ex. presiune fiscala agregat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CF</dc:creator>
  <cp:lastModifiedBy>Bogdan Dumitrescu</cp:lastModifiedBy>
  <dcterms:created xsi:type="dcterms:W3CDTF">2016-09-16T10:54:34Z</dcterms:created>
  <dcterms:modified xsi:type="dcterms:W3CDTF">2017-01-05T09:50:33Z</dcterms:modified>
</cp:coreProperties>
</file>